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.shamiryan\Desktop\EE VARK\"/>
    </mc:Choice>
  </mc:AlternateContent>
  <workbookProtection workbookAlgorithmName="SHA-512" workbookHashValue="7aOsLy8xT3lB5BBkr9G5qoch25i6l3w+aCLT3DCqY0LZ+2XrwQB864jmDfT3keRq29thOaqXBxM3G/LpzI8bag==" workbookSaltValue="l5QHlRYi+0aL8LBzc+jodQ==" workbookSpinCount="100000" lockStructure="1"/>
  <bookViews>
    <workbookView xWindow="0" yWindow="0" windowWidth="20490" windowHeight="7755"/>
  </bookViews>
  <sheets>
    <sheet name="Մուտքային" sheetId="1" r:id="rId1"/>
    <sheet name="Առանձին ԷԱ միջոցառ խնայող" sheetId="8" state="hidden" r:id="rId2"/>
    <sheet name="Ելակետային ընդհանուր տվյալներ" sheetId="2" state="hidden" r:id="rId3"/>
    <sheet name="Ջեռուցման համակարգ" sheetId="3" state="hidden" r:id="rId4"/>
    <sheet name="Վերականգնվող էներգիա" sheetId="4" state="hidden" r:id="rId5"/>
    <sheet name="Ջերմամեկուսացում" sheetId="5" state="hidden" r:id="rId6"/>
    <sheet name="Կենցաղային սարքեր" sheetId="6" state="hidden" r:id="rId7"/>
    <sheet name="Լուսավորություն" sheetId="7" state="hidden" r:id="rId8"/>
    <sheet name="Փոխարկման ֆակտորներ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11" i="5" l="1"/>
  <c r="E4" i="5" l="1"/>
  <c r="B2" i="9" l="1"/>
  <c r="B9" i="9"/>
  <c r="E9" i="2"/>
  <c r="E11" i="3"/>
  <c r="H5" i="7" l="1"/>
  <c r="H4" i="7"/>
  <c r="C3" i="7"/>
  <c r="E19" i="5"/>
  <c r="E21" i="5" s="1"/>
  <c r="C11" i="5"/>
  <c r="H11" i="5"/>
  <c r="E6" i="5"/>
  <c r="C4" i="5"/>
  <c r="C10" i="3"/>
  <c r="E13" i="2"/>
  <c r="E11" i="2"/>
  <c r="E8" i="2"/>
  <c r="E7" i="2"/>
  <c r="E5" i="2"/>
  <c r="E4" i="2"/>
  <c r="E3" i="2"/>
  <c r="E13" i="5" l="1"/>
  <c r="H4" i="5"/>
  <c r="E6" i="2"/>
  <c r="E3" i="7"/>
  <c r="H3" i="7" s="1"/>
  <c r="E82" i="1"/>
  <c r="E96" i="1" l="1"/>
  <c r="E95" i="1"/>
  <c r="E94" i="1"/>
  <c r="E77" i="1"/>
  <c r="E76" i="1"/>
  <c r="E75" i="1"/>
  <c r="E74" i="1"/>
  <c r="E65" i="1"/>
  <c r="E64" i="1"/>
  <c r="E63" i="1"/>
  <c r="E62" i="1"/>
  <c r="E44" i="1"/>
  <c r="E43" i="1"/>
  <c r="E42" i="1"/>
  <c r="E41" i="1"/>
  <c r="E26" i="1"/>
  <c r="E27" i="1"/>
  <c r="E28" i="1"/>
  <c r="E29" i="1"/>
  <c r="F57" i="1"/>
  <c r="F54" i="1"/>
  <c r="E21" i="1"/>
  <c r="H4" i="2"/>
  <c r="C5" i="5" s="1"/>
  <c r="H5" i="5" s="1"/>
  <c r="E12" i="4"/>
  <c r="H12" i="4" s="1"/>
  <c r="C5" i="4"/>
  <c r="E4" i="4"/>
  <c r="E34" i="1"/>
  <c r="C20" i="6"/>
  <c r="C19" i="5"/>
  <c r="F51" i="1"/>
  <c r="D90" i="1"/>
  <c r="E70" i="1"/>
  <c r="H13" i="5"/>
  <c r="E19" i="1"/>
  <c r="E22" i="1" l="1"/>
  <c r="H6" i="5"/>
  <c r="E97" i="1"/>
  <c r="E66" i="1"/>
  <c r="E30" i="1"/>
  <c r="E78" i="1"/>
  <c r="C12" i="5"/>
  <c r="C28" i="6"/>
  <c r="C12" i="6"/>
  <c r="H12" i="6" s="1"/>
  <c r="C4" i="6"/>
  <c r="B102" i="1" l="1"/>
  <c r="C102" i="1" s="1"/>
  <c r="C14" i="4"/>
  <c r="C4" i="4"/>
  <c r="H4" i="4" s="1"/>
  <c r="E85" i="1"/>
  <c r="E84" i="1"/>
  <c r="E83" i="1"/>
  <c r="F56" i="1"/>
  <c r="F55" i="1"/>
  <c r="F53" i="1"/>
  <c r="F52" i="1"/>
  <c r="B33" i="9"/>
  <c r="B31" i="9"/>
  <c r="B29" i="9"/>
  <c r="B27" i="9"/>
  <c r="B25" i="9"/>
  <c r="D12" i="8"/>
  <c r="D11" i="8"/>
  <c r="D10" i="8"/>
  <c r="D9" i="8"/>
  <c r="C8" i="8"/>
  <c r="C7" i="8"/>
  <c r="C6" i="8"/>
  <c r="D5" i="8"/>
  <c r="C5" i="8"/>
  <c r="D4" i="8"/>
  <c r="C4" i="8"/>
  <c r="C2" i="8"/>
  <c r="K5" i="7"/>
  <c r="D13" i="8" s="1"/>
  <c r="C4" i="7"/>
  <c r="E30" i="6"/>
  <c r="C30" i="6"/>
  <c r="H30" i="6" s="1"/>
  <c r="H29" i="6"/>
  <c r="C29" i="6"/>
  <c r="H28" i="6"/>
  <c r="E22" i="6"/>
  <c r="C22" i="6"/>
  <c r="C21" i="6"/>
  <c r="H21" i="6" s="1"/>
  <c r="H20" i="6"/>
  <c r="E14" i="6"/>
  <c r="C14" i="6"/>
  <c r="H14" i="6" s="1"/>
  <c r="C13" i="6"/>
  <c r="H13" i="6" s="1"/>
  <c r="H6" i="6"/>
  <c r="C6" i="6"/>
  <c r="C5" i="6"/>
  <c r="H5" i="6" s="1"/>
  <c r="H4" i="6"/>
  <c r="H12" i="5"/>
  <c r="E14" i="4"/>
  <c r="H13" i="4"/>
  <c r="E6" i="4"/>
  <c r="H5" i="4"/>
  <c r="C11" i="3"/>
  <c r="H11" i="3" s="1"/>
  <c r="H5" i="3"/>
  <c r="H13" i="2"/>
  <c r="H11" i="2"/>
  <c r="H10" i="2"/>
  <c r="H9" i="2"/>
  <c r="C9" i="2"/>
  <c r="H8" i="2"/>
  <c r="H7" i="2"/>
  <c r="E12" i="2"/>
  <c r="H5" i="2"/>
  <c r="C6" i="2"/>
  <c r="E37" i="1"/>
  <c r="H3" i="2" l="1"/>
  <c r="H6" i="2" s="1"/>
  <c r="E10" i="3" s="1"/>
  <c r="F58" i="1"/>
  <c r="E86" i="1"/>
  <c r="H14" i="4"/>
  <c r="J14" i="4" s="1"/>
  <c r="F37" i="1" s="1"/>
  <c r="H22" i="6"/>
  <c r="C20" i="5"/>
  <c r="H20" i="5" s="1"/>
  <c r="J5" i="7"/>
  <c r="F90" i="1" s="1"/>
  <c r="J30" i="6"/>
  <c r="C6" i="4"/>
  <c r="H6" i="4"/>
  <c r="K6" i="4" s="1"/>
  <c r="F34" i="1" s="1"/>
  <c r="J6" i="6"/>
  <c r="J14" i="6"/>
  <c r="F83" i="1" s="1"/>
  <c r="J22" i="6"/>
  <c r="F82" i="1" s="1"/>
  <c r="H10" i="3" l="1"/>
  <c r="E4" i="3"/>
  <c r="H4" i="3" s="1"/>
  <c r="B101" i="1"/>
  <c r="B103" i="1" s="1"/>
  <c r="C12" i="2"/>
  <c r="C4" i="3"/>
  <c r="L14" i="4"/>
  <c r="E5" i="8" s="1"/>
  <c r="L6" i="4"/>
  <c r="E4" i="8" s="1"/>
  <c r="M14" i="4"/>
  <c r="F5" i="8" s="1"/>
  <c r="L30" i="6"/>
  <c r="E12" i="8" s="1"/>
  <c r="F85" i="1"/>
  <c r="L6" i="6"/>
  <c r="E9" i="8" s="1"/>
  <c r="F84" i="1"/>
  <c r="C12" i="8"/>
  <c r="C13" i="5"/>
  <c r="K13" i="5" s="1"/>
  <c r="M30" i="6"/>
  <c r="F12" i="8" s="1"/>
  <c r="C9" i="8"/>
  <c r="M6" i="4"/>
  <c r="F4" i="8" s="1"/>
  <c r="M6" i="6"/>
  <c r="F9" i="8" s="1"/>
  <c r="C13" i="8"/>
  <c r="M5" i="7"/>
  <c r="F13" i="8" s="1"/>
  <c r="L5" i="7"/>
  <c r="E13" i="8" s="1"/>
  <c r="H12" i="2"/>
  <c r="K12" i="3" s="1"/>
  <c r="C21" i="5"/>
  <c r="H19" i="5"/>
  <c r="H21" i="5" s="1"/>
  <c r="K21" i="5" s="1"/>
  <c r="C11" i="8"/>
  <c r="L22" i="6"/>
  <c r="E11" i="8" s="1"/>
  <c r="M22" i="6"/>
  <c r="F11" i="8" s="1"/>
  <c r="C6" i="5"/>
  <c r="K6" i="5" s="1"/>
  <c r="C10" i="8"/>
  <c r="M14" i="6"/>
  <c r="F10" i="8" s="1"/>
  <c r="L14" i="6"/>
  <c r="E10" i="8" s="1"/>
  <c r="G57" i="1" l="1"/>
  <c r="G56" i="1"/>
  <c r="G52" i="1"/>
  <c r="G55" i="1"/>
  <c r="G53" i="1"/>
  <c r="G54" i="1"/>
  <c r="G51" i="1"/>
  <c r="C101" i="1"/>
  <c r="D7" i="8"/>
  <c r="F70" i="1"/>
  <c r="L6" i="5"/>
  <c r="E6" i="8" s="1"/>
  <c r="F86" i="1"/>
  <c r="M13" i="5"/>
  <c r="F7" i="8" s="1"/>
  <c r="L13" i="5"/>
  <c r="E7" i="8" s="1"/>
  <c r="M6" i="5"/>
  <c r="F6" i="8" s="1"/>
  <c r="D6" i="8"/>
  <c r="C103" i="1"/>
  <c r="E101" i="1" s="1"/>
  <c r="C6" i="3"/>
  <c r="C12" i="3"/>
  <c r="G58" i="1" l="1"/>
  <c r="D8" i="8"/>
  <c r="M21" i="5"/>
  <c r="F8" i="8" s="1"/>
  <c r="L21" i="5"/>
  <c r="E8" i="8" s="1"/>
  <c r="E6" i="3"/>
  <c r="H6" i="3"/>
  <c r="K6" i="3" s="1"/>
  <c r="D3" i="8"/>
  <c r="E12" i="3"/>
  <c r="H12" i="3"/>
  <c r="J12" i="3" s="1"/>
  <c r="F21" i="1" s="1"/>
  <c r="C3" i="8" l="1"/>
  <c r="C14" i="8" s="1"/>
  <c r="L12" i="3"/>
  <c r="E3" i="8" s="1"/>
  <c r="M12" i="3"/>
  <c r="F3" i="8" s="1"/>
  <c r="M6" i="3" l="1"/>
  <c r="F2" i="8" s="1"/>
  <c r="F14" i="8" s="1"/>
  <c r="F19" i="1"/>
  <c r="L6" i="3"/>
  <c r="E2" i="8" s="1"/>
  <c r="E14" i="8" s="1"/>
  <c r="D2" i="8"/>
  <c r="D14" i="8" s="1"/>
  <c r="B109" i="1" l="1"/>
  <c r="C109" i="1" s="1"/>
  <c r="B108" i="1"/>
  <c r="C108" i="1" s="1"/>
  <c r="F22" i="1"/>
  <c r="B107" i="1" l="1"/>
  <c r="C107" i="1" s="1"/>
</calcChain>
</file>

<file path=xl/comments1.xml><?xml version="1.0" encoding="utf-8"?>
<comments xmlns="http://schemas.openxmlformats.org/spreadsheetml/2006/main">
  <authors>
    <author>Amin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Amin:</t>
        </r>
        <r>
          <rPr>
            <sz val="9"/>
            <color indexed="81"/>
            <rFont val="Tahoma"/>
            <family val="2"/>
            <charset val="204"/>
          </rPr>
          <t xml:space="preserve">
should be removed</t>
        </r>
      </text>
    </comment>
  </commentList>
</comments>
</file>

<file path=xl/sharedStrings.xml><?xml version="1.0" encoding="utf-8"?>
<sst xmlns="http://schemas.openxmlformats.org/spreadsheetml/2006/main" count="508" uniqueCount="216">
  <si>
    <t>&gt;90%</t>
  </si>
  <si>
    <t>&lt;2.5</t>
  </si>
  <si>
    <t>&gt;A+</t>
  </si>
  <si>
    <t>kWh/m²a</t>
  </si>
  <si>
    <t>kWh/a</t>
  </si>
  <si>
    <t>%</t>
  </si>
  <si>
    <t>-</t>
  </si>
  <si>
    <t>W/m²</t>
  </si>
  <si>
    <t>kWh</t>
  </si>
  <si>
    <t xml:space="preserve">Renewable energy only leads to primary energy savings </t>
  </si>
  <si>
    <t>kWpeak</t>
  </si>
  <si>
    <t>according PVgis</t>
  </si>
  <si>
    <t>A+++</t>
  </si>
  <si>
    <t>A++</t>
  </si>
  <si>
    <t>A+</t>
  </si>
  <si>
    <t>A</t>
  </si>
  <si>
    <t>Washing machines</t>
  </si>
  <si>
    <t>Category</t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</si>
  <si>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/MWh</t>
    </r>
  </si>
  <si>
    <t>N/A</t>
  </si>
  <si>
    <t>LPG</t>
  </si>
  <si>
    <t>Biogas from manure</t>
  </si>
  <si>
    <t>Biogas from energy plants</t>
  </si>
  <si>
    <t>30-106</t>
  </si>
  <si>
    <t>13-40</t>
  </si>
  <si>
    <t>MJ/m³</t>
  </si>
  <si>
    <t>kWh/m³</t>
  </si>
  <si>
    <t>MJ/kg</t>
  </si>
  <si>
    <t>kWh/kg</t>
  </si>
  <si>
    <t>MJ/l</t>
  </si>
  <si>
    <t>kWh/l</t>
  </si>
  <si>
    <t>NCV LPG</t>
  </si>
  <si>
    <t>kg/m³</t>
  </si>
  <si>
    <t>Wh/kg/K</t>
  </si>
  <si>
    <t>&lt;90%</t>
  </si>
  <si>
    <t>&gt;2.5</t>
  </si>
  <si>
    <t>&lt;A+</t>
  </si>
  <si>
    <t>solar yield (specific)</t>
  </si>
  <si>
    <t>solar yield (total)</t>
  </si>
  <si>
    <t>gas</t>
  </si>
  <si>
    <t>COP</t>
  </si>
  <si>
    <t>COP [-]</t>
  </si>
  <si>
    <t>electricity</t>
  </si>
  <si>
    <t>Բնակարանի/տան ԷԱ վերանորոգման ծախսերի հաշվարկ</t>
  </si>
  <si>
    <t>1. Ընդհանուր տեղեկություններ</t>
  </si>
  <si>
    <t>Վարկառուի ԱԱ</t>
  </si>
  <si>
    <t>Բնակության հասցե</t>
  </si>
  <si>
    <t>Պահանջվող վարկի գումար [ՀՀԴ]</t>
  </si>
  <si>
    <t>ԷԱ միջոցառումներ</t>
  </si>
  <si>
    <t>2. Ջեռուցման համակարգ</t>
  </si>
  <si>
    <t>ՕԳԳ [%]</t>
  </si>
  <si>
    <t>Տեսակը</t>
  </si>
  <si>
    <t>Ջեռուցման կաթսա</t>
  </si>
  <si>
    <t>Ջերմային պոմպ</t>
  </si>
  <si>
    <t>Ընդամենը</t>
  </si>
  <si>
    <t>Քանակ [հատ]</t>
  </si>
  <si>
    <t>Խնայվող էներգիա [ԿՎժ/ա]</t>
  </si>
  <si>
    <t>2.1 Ջեռուցման համակարգի հետ կապված ծախսեր</t>
  </si>
  <si>
    <t>Տրանսպորտ</t>
  </si>
  <si>
    <t>Օժանդակ նյութեր</t>
  </si>
  <si>
    <t>Աշխատանք</t>
  </si>
  <si>
    <t>Այլ</t>
  </si>
  <si>
    <t>Արևային ջրատաքացուցիչ</t>
  </si>
  <si>
    <t>Ընդհանուր մակկերես [մ²]</t>
  </si>
  <si>
    <t>Մեկ պանելի արժեքը [ՀՀԴ]</t>
  </si>
  <si>
    <t>Մեկ միավորի արժեքը [ՀՀԴ]</t>
  </si>
  <si>
    <t>Ըդհանուր ելքային հզորություն [kWp]</t>
  </si>
  <si>
    <t>3.1 Վերականգնվող էնարգիայի հետ կապված ծախսեր</t>
  </si>
  <si>
    <t>Օժանդակ նյութեր/սարքեր</t>
  </si>
  <si>
    <t>Պատեր</t>
  </si>
  <si>
    <t>Առաստաղ</t>
  </si>
  <si>
    <t>Պատեր և առաստաղ</t>
  </si>
  <si>
    <t>Ջերմամեկուսիչ նյութ</t>
  </si>
  <si>
    <t>Ապակե մանրաթել</t>
  </si>
  <si>
    <t>Փրփրապոլիստիրոլ</t>
  </si>
  <si>
    <t>Փոլիստիրոլ</t>
  </si>
  <si>
    <t>Ապակե բամբակ</t>
  </si>
  <si>
    <t>Հանքային բամբակ</t>
  </si>
  <si>
    <t>Պեռլիտ</t>
  </si>
  <si>
    <t>Պոլիուրեթան</t>
  </si>
  <si>
    <t>Ջերմամեկուսացվում է (ընտրել ցանկից)</t>
  </si>
  <si>
    <t>4. Պատերի և առաստաղի ջերմամեկուսացում (հաջորդ տողում ընտրել ցանկից)</t>
  </si>
  <si>
    <t>Հաստություն [սմ]</t>
  </si>
  <si>
    <t>Քանակ [մ²]</t>
  </si>
  <si>
    <t>Մեկ մ² գինը</t>
  </si>
  <si>
    <t>Ընդամենը ծախսեր [ՀՀԴ]</t>
  </si>
  <si>
    <t>4.1 Ջերմամեկուսացման հետ կապված ծախսեր</t>
  </si>
  <si>
    <t>Մեկ միավորի գինը [ՀՀԴ]</t>
  </si>
  <si>
    <t>5. Պատուհաններ</t>
  </si>
  <si>
    <t>Պատուհաններ</t>
  </si>
  <si>
    <t>U-արժեք (ընտրել ցանկից) [Վ/մ²Կ]</t>
  </si>
  <si>
    <t>Մեկ միավորի արժեք [ՀՀԴ]</t>
  </si>
  <si>
    <t>5.1 Պատուհանների հետ կապված ծախսեր</t>
  </si>
  <si>
    <t>Աշխատանքներ</t>
  </si>
  <si>
    <t>6. Կենցաղային սարքեր</t>
  </si>
  <si>
    <t>Սառնարան</t>
  </si>
  <si>
    <t>Լվածքի մեքենա</t>
  </si>
  <si>
    <t>Օդորակիչ</t>
  </si>
  <si>
    <t>Սպասք լվալու մեքենա</t>
  </si>
  <si>
    <t>ԷԱ դասը (ընտրել ցանկից)</t>
  </si>
  <si>
    <t>7. Լուսավորություն</t>
  </si>
  <si>
    <t>LED լամպեր</t>
  </si>
  <si>
    <t>7.1 Լուսավորության հետ կապված ծախսեր</t>
  </si>
  <si>
    <t>Օժանդակ սարքեր</t>
  </si>
  <si>
    <t>8. Ամփոփ</t>
  </si>
  <si>
    <t>Ծախսեր</t>
  </si>
  <si>
    <t>Գումար [ՀՀԴ]</t>
  </si>
  <si>
    <t>ԷԱ ծախսերի մասնաբաժինը վարկում [%]</t>
  </si>
  <si>
    <t>Հանդիսանում է ԷԱ վարկ?</t>
  </si>
  <si>
    <t>Տոկոսային [%]</t>
  </si>
  <si>
    <t>Վերջնական էներգիայի խնայողություն</t>
  </si>
  <si>
    <t>Առաջնային էներգիայի խնայողություն</t>
  </si>
  <si>
    <r>
      <t>CO</t>
    </r>
    <r>
      <rPr>
        <b/>
        <vertAlign val="subscript"/>
        <sz val="11"/>
        <color theme="1"/>
        <rFont val="Frutiger LT 47 LightCn"/>
        <family val="2"/>
      </rPr>
      <t>2</t>
    </r>
    <r>
      <rPr>
        <b/>
        <sz val="11"/>
        <color theme="1"/>
        <rFont val="Frutiger LT 47 LightCn"/>
        <family val="2"/>
      </rPr>
      <t xml:space="preserve"> խնայողություն</t>
    </r>
  </si>
  <si>
    <t>Միջոցառում</t>
  </si>
  <si>
    <t>Գազի կաթսա</t>
  </si>
  <si>
    <t>Ֆոտովոլըաիկ համակարգ</t>
  </si>
  <si>
    <t>Ջեռուցման համակարգ</t>
  </si>
  <si>
    <t>Վերականգնվող էներգետիկա</t>
  </si>
  <si>
    <t>Ջերմամեկուսացում</t>
  </si>
  <si>
    <t>Պատերի ջերմամեկուսացում</t>
  </si>
  <si>
    <t>Պատերի և առաստաղի ջերմամեկուսացում</t>
  </si>
  <si>
    <t>Սպասք լվալու մենքենա</t>
  </si>
  <si>
    <t>Լուսավորություն</t>
  </si>
  <si>
    <t>Կենցաղային սարքեր</t>
  </si>
  <si>
    <t>Վերջնական էլեկտրոէներգիայի խնայողություն (ԿՎժ)</t>
  </si>
  <si>
    <t>Վերջնական ջեռուցման էներգիայի խնայողություն (ԿՎժ)</t>
  </si>
  <si>
    <t>Առաջնային էներգիայի խնայողություն (ԿՎժ)</t>
  </si>
  <si>
    <t>CO2 խնայողություն (կգ CO2/y)</t>
  </si>
  <si>
    <t>Ելակետային ենթադրություններ - ըդունված արժեքներ:</t>
  </si>
  <si>
    <t>Վերանորոգվող բնակարանի/տան ընդհանուր մակերես [մ²]</t>
  </si>
  <si>
    <t>Վերանորոգվող գույքի հասցե</t>
  </si>
  <si>
    <t>Վերանորոգվող գույքի տեսակը /բնակարան, տուն/</t>
  </si>
  <si>
    <t>Ջեռուցման հատուկ պահանջ</t>
  </si>
  <si>
    <t>Տաք ջրի հատուկ պահանջ</t>
  </si>
  <si>
    <t>Ջեռուցման պահանջ (օգտակար էներգիա)</t>
  </si>
  <si>
    <t>Էլեկտրաէներգիայի պահանջ</t>
  </si>
  <si>
    <t>Լուսավորության մասնաբաժին</t>
  </si>
  <si>
    <t>Լուսավորության համար էլեկտրաէներգիայի պահանջ</t>
  </si>
  <si>
    <t>Ջեռուցման աղբյուր</t>
  </si>
  <si>
    <t>Ելակետային համակարգի արդյունավետություն</t>
  </si>
  <si>
    <t>Էներգիայի վերջնական պահանջարկ (ջեռուցում)</t>
  </si>
  <si>
    <t>Լուսավորության հատուկ հզորություն</t>
  </si>
  <si>
    <t>մ²</t>
  </si>
  <si>
    <t xml:space="preserve">Վերանորոգվող բնակարանի/տան ընդհանուր մակերես </t>
  </si>
  <si>
    <t>Պրոեկտի հատուկ արժեքներ</t>
  </si>
  <si>
    <t>Օգտագործված արժեքներ</t>
  </si>
  <si>
    <t>ջեռուցում, տաք ջուր</t>
  </si>
  <si>
    <t>Գազի կաթսաներ</t>
  </si>
  <si>
    <t>Ենթադրություններ - ընդունված արժեքներ:</t>
  </si>
  <si>
    <t>Ջեռուցման պահանջարկ BL</t>
  </si>
  <si>
    <t>ՕԳԳ</t>
  </si>
  <si>
    <t>Վերջնական էներգիայի պահանջարկ</t>
  </si>
  <si>
    <t>Ջերմային պոմպեր</t>
  </si>
  <si>
    <t>Օգտակար էներգիա</t>
  </si>
  <si>
    <t>Մուտքային էլեկտրաէներգիա</t>
  </si>
  <si>
    <t>Մակերես</t>
  </si>
  <si>
    <t>ենթադրություն: փոխարինում է գազը, հարթ կոլեկտոր</t>
  </si>
  <si>
    <t>Վերականգնվող էներգիյան բերում է միայն առաջնային էներգիայի խնայողություն</t>
  </si>
  <si>
    <t>վերջնական էներգիան միայն հաշվարկների համար</t>
  </si>
  <si>
    <t>Ֆոտովոլտաիկ համակարգեր</t>
  </si>
  <si>
    <t>ենթադրություն. Փոխարինում է էլցանցից ստացվող էլեկտաէներգիան</t>
  </si>
  <si>
    <t>ենթադրություն. Հին ջեռուցման համակարգը ամբողջությամբ փոխարինվում է</t>
  </si>
  <si>
    <t>ջերմային պոմպը աշխատում է էլեկտրկաէներգիայով (էլեկտրաէներգիան ստացվում է էլ ցանցին - կոնսերվատիվ ենթադրություն)</t>
  </si>
  <si>
    <t>Ընդհանուր մակերես</t>
  </si>
  <si>
    <t>Ջեռուցման հատուկ պահանջարկ</t>
  </si>
  <si>
    <t>Ջեռուցման պահանջարկ</t>
  </si>
  <si>
    <t>ենթադրություն. Փոխարինում է գազը; շինության պատերի 50% արտաքին պատեր են, էֆեկտիվ ջերմամեկուսացումը նվազեցնում է փոխանցման կորուստները  70% (ելակետային ենթադրություններում ջերմամեկուսացում չկա)</t>
  </si>
  <si>
    <t>Առաստաղի և ձեղնահարկի ջերմամեկուսացում</t>
  </si>
  <si>
    <t>ենթադրություն. Փոխարինում է գազը; շինության պատող կոնստրուկցիայի 40% կազմում է առաստաղը/ձեղնահարկը, արդյունավետ ջերմամեկուսացումը կնվազեցնի փոխանցման ծախսերը 60%</t>
  </si>
  <si>
    <t>ենթադրություն. Փոխարինում է գազը; շինության պատող կոնստրուկցիայի 10% կազմում են պատուհանները, նոր երկշերտ պատուհանները նվազեցնում են փոխանցման կորուստները 30% և նվազեցնում օդափոխության կորուստները (~3% էներգիայի կորուստների) ամբողջովին</t>
  </si>
  <si>
    <t>էլեկտրաէներգիայի հին պահանջարկ</t>
  </si>
  <si>
    <t>էլեկտրաէներգիայի նոր պահանջարկ</t>
  </si>
  <si>
    <t>ենթադրություն. Փոխարինում է էլ ցանցին ստացված էլեկտրաէներգիան</t>
  </si>
  <si>
    <t>Ելակետ. դաս A, էֆեկտիվություն. A+++</t>
  </si>
  <si>
    <t>Քանակ</t>
  </si>
  <si>
    <t>Սառնարաններ</t>
  </si>
  <si>
    <t>Սպասք լվացող մեքենաներ</t>
  </si>
  <si>
    <t>բացակայում է AT-ում</t>
  </si>
  <si>
    <t>Հատուկ լուսավորության հզորություն, հին</t>
  </si>
  <si>
    <t>Հատուկ լուսավորության հզորություն, նոր</t>
  </si>
  <si>
    <t>ենթադրություն. Փոխարինում է էլ ցանցից ստացված էլեկտրաէներգիան</t>
  </si>
  <si>
    <t>Վ/մ²</t>
  </si>
  <si>
    <t>Առաջնային էներգիայի ֆակտորներ</t>
  </si>
  <si>
    <t>Բնական գազ</t>
  </si>
  <si>
    <t>Էլեկտաէներգիա</t>
  </si>
  <si>
    <r>
      <t>CO</t>
    </r>
    <r>
      <rPr>
        <b/>
        <vertAlign val="subscript"/>
        <sz val="11"/>
        <color indexed="9"/>
        <rFont val="Calibri"/>
        <family val="2"/>
        <scheme val="minor"/>
      </rPr>
      <t>2</t>
    </r>
    <r>
      <rPr>
        <b/>
        <sz val="11"/>
        <color indexed="9"/>
        <rFont val="Calibri"/>
        <family val="2"/>
        <scheme val="minor"/>
      </rPr>
      <t xml:space="preserve"> արտանետումների ֆացտորներ</t>
    </r>
  </si>
  <si>
    <t>Արժեք</t>
  </si>
  <si>
    <t>Միավոր</t>
  </si>
  <si>
    <t>Էլեկտաէներգիա (0.4 ԿՎ)</t>
  </si>
  <si>
    <t>Էլեկտաէներգիա (6-10 ԿՎ)</t>
  </si>
  <si>
    <t>Էլեկտաէներգիա (110-400 ԿՎ)</t>
  </si>
  <si>
    <t>Կենտրոնացված ջեռուցում (բնական գազով)</t>
  </si>
  <si>
    <t>Դիզել</t>
  </si>
  <si>
    <t>Փայտի գերաններ</t>
  </si>
  <si>
    <t>Փայտի պելետներ</t>
  </si>
  <si>
    <t>Փայտի թեփ</t>
  </si>
  <si>
    <t>Այլ մուտքային տվյալներ</t>
  </si>
  <si>
    <t>NCV Բնական գազ LHV</t>
  </si>
  <si>
    <t>NCV Քարածուխ</t>
  </si>
  <si>
    <t>NCV Դիզել</t>
  </si>
  <si>
    <t>NCV Մազութ</t>
  </si>
  <si>
    <t>LPG խտություն</t>
  </si>
  <si>
    <t>Մազութի խտություն</t>
  </si>
  <si>
    <t>NCV Ծղոտի պելետ</t>
  </si>
  <si>
    <t>Ջրի ջերմունակությունը</t>
  </si>
  <si>
    <t>1 NM3 Բնական գազ</t>
  </si>
  <si>
    <t>Այլ օժանդակ նյութեր/սարքեր</t>
  </si>
  <si>
    <t>Ֆոտովոլտաիկ /PV/ - պանել</t>
  </si>
  <si>
    <t>3.Վերականգնվող էներգիա (Արևային ջրատաքացուցիչ, ֆոտովոլտաիկ /PV/ համակարգ)</t>
  </si>
  <si>
    <t>Ընդամենը ԷԱ ծախսեր</t>
  </si>
  <si>
    <t>Ընդամենը ԷԱ միջոցառումների հետ կապված ծախսեր</t>
  </si>
  <si>
    <t>Ընդամենը ծախսեր</t>
  </si>
  <si>
    <r>
      <t xml:space="preserve">Ուշադրություն. </t>
    </r>
    <r>
      <rPr>
        <b/>
        <i/>
        <sz val="12"/>
        <color theme="1"/>
        <rFont val="Frutiger LT 47 LightCn"/>
        <family val="2"/>
      </rPr>
      <t>անհրաժեշտ է լրացնել</t>
    </r>
    <r>
      <rPr>
        <i/>
        <sz val="12"/>
        <color theme="1"/>
        <rFont val="Frutiger LT 47 LightCn"/>
        <family val="2"/>
      </rPr>
      <t xml:space="preserve"> </t>
    </r>
    <r>
      <rPr>
        <b/>
        <i/>
        <sz val="12"/>
        <color theme="1"/>
        <rFont val="Frutiger LT 47 LightCn"/>
        <family val="2"/>
      </rPr>
      <t>ֆայլի միայն առաջին էջը.</t>
    </r>
    <r>
      <rPr>
        <i/>
        <sz val="12"/>
        <color theme="1"/>
        <rFont val="Frutiger LT 47 LightCn"/>
        <family val="2"/>
      </rPr>
      <t xml:space="preserve"> Խնդրում ենք մուտքագրել ընդհանուր տեղեկություններ եւ տվյալներ իրականացվելիք էներգաարդյունավետության միջոցառումների վերաբերյալ, լրացնելով համապատասխան վանդակները: </t>
    </r>
  </si>
  <si>
    <t>Մեկ միավորի գին [ՀՀԴ]</t>
  </si>
  <si>
    <r>
      <t>Գումարային [kWh/a] / [ t</t>
    </r>
    <r>
      <rPr>
        <b/>
        <vertAlign val="subscript"/>
        <sz val="11"/>
        <color theme="1"/>
        <rFont val="Frutiger LT 47 LightCn"/>
        <family val="2"/>
      </rPr>
      <t>CO2equ</t>
    </r>
    <r>
      <rPr>
        <b/>
        <sz val="11"/>
        <color theme="1"/>
        <rFont val="Frutiger LT 47 LightCn"/>
        <family val="2"/>
      </rPr>
      <t>]</t>
    </r>
  </si>
  <si>
    <t>9. Էներգիայի ակնկալվող խնայողություն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</si>
</sst>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  <numFmt numFmtId="167" formatCode="0.000"/>
    <numFmt numFmtId="168" formatCode="0.0"/>
    <numFmt numFmtId="169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vertAlign val="subscript"/>
      <sz val="11"/>
      <color indexed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1"/>
      <name val="Frutiger LT 47 LightCn"/>
      <family val="2"/>
    </font>
    <font>
      <b/>
      <sz val="11"/>
      <color theme="1"/>
      <name val="Frutiger LT 47 LightCn"/>
      <family val="2"/>
    </font>
    <font>
      <b/>
      <sz val="14"/>
      <color theme="1"/>
      <name val="Frutiger LT 47 LightCn"/>
      <family val="2"/>
    </font>
    <font>
      <b/>
      <sz val="11"/>
      <color theme="1"/>
      <name val="Frutiger LT 47 LightCn"/>
      <family val="2"/>
    </font>
    <font>
      <sz val="11"/>
      <color theme="1"/>
      <name val="Frutiger LT 47 LightCn"/>
      <family val="2"/>
    </font>
    <font>
      <b/>
      <sz val="11"/>
      <name val="Frutiger LT 47 LightCn"/>
      <family val="2"/>
    </font>
    <font>
      <i/>
      <sz val="12"/>
      <color theme="1"/>
      <name val="Frutiger LT 47 LightCn"/>
      <family val="2"/>
    </font>
    <font>
      <b/>
      <vertAlign val="subscript"/>
      <sz val="11"/>
      <color theme="1"/>
      <name val="Frutiger LT 47 LightCn"/>
      <family val="2"/>
    </font>
    <font>
      <b/>
      <i/>
      <sz val="12"/>
      <color theme="1"/>
      <name val="Frutiger LT 47 LightCn"/>
      <family val="2"/>
    </font>
    <font>
      <b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98A7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218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wrapText="1"/>
    </xf>
    <xf numFmtId="165" fontId="0" fillId="0" borderId="1" xfId="2" applyNumberFormat="1" applyFont="1" applyBorder="1"/>
    <xf numFmtId="165" fontId="0" fillId="2" borderId="1" xfId="2" applyNumberFormat="1" applyFont="1" applyFill="1" applyBorder="1"/>
    <xf numFmtId="165" fontId="0" fillId="0" borderId="0" xfId="2" applyNumberFormat="1" applyFont="1" applyBorder="1"/>
    <xf numFmtId="164" fontId="4" fillId="0" borderId="0" xfId="2" applyFont="1"/>
    <xf numFmtId="9" fontId="0" fillId="0" borderId="1" xfId="1" applyFont="1" applyBorder="1"/>
    <xf numFmtId="166" fontId="0" fillId="0" borderId="1" xfId="2" applyNumberFormat="1" applyFont="1" applyBorder="1"/>
    <xf numFmtId="164" fontId="0" fillId="0" borderId="1" xfId="2" applyNumberFormat="1" applyFont="1" applyBorder="1"/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wrapText="1"/>
    </xf>
    <xf numFmtId="165" fontId="0" fillId="0" borderId="1" xfId="0" applyNumberFormat="1" applyFill="1" applyBorder="1"/>
    <xf numFmtId="0" fontId="0" fillId="2" borderId="1" xfId="0" applyFill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1" xfId="0" quotePrefix="1" applyBorder="1"/>
    <xf numFmtId="1" fontId="0" fillId="0" borderId="1" xfId="0" applyNumberFormat="1" applyBorder="1"/>
    <xf numFmtId="0" fontId="4" fillId="0" borderId="0" xfId="0" applyFont="1"/>
    <xf numFmtId="0" fontId="2" fillId="4" borderId="0" xfId="0" applyFont="1" applyFill="1"/>
    <xf numFmtId="0" fontId="0" fillId="4" borderId="0" xfId="0" applyFill="1"/>
    <xf numFmtId="165" fontId="4" fillId="0" borderId="1" xfId="2" applyNumberFormat="1" applyFont="1" applyBorder="1"/>
    <xf numFmtId="0" fontId="2" fillId="5" borderId="0" xfId="0" applyFont="1" applyFill="1"/>
    <xf numFmtId="0" fontId="0" fillId="5" borderId="0" xfId="0" applyFill="1"/>
    <xf numFmtId="0" fontId="0" fillId="6" borderId="1" xfId="0" applyFill="1" applyBorder="1"/>
    <xf numFmtId="0" fontId="0" fillId="0" borderId="0" xfId="0" applyFill="1" applyBorder="1"/>
    <xf numFmtId="0" fontId="2" fillId="7" borderId="0" xfId="0" applyFont="1" applyFill="1" applyBorder="1"/>
    <xf numFmtId="0" fontId="0" fillId="7" borderId="0" xfId="0" applyFill="1" applyBorder="1"/>
    <xf numFmtId="0" fontId="0" fillId="7" borderId="0" xfId="0" applyFill="1"/>
    <xf numFmtId="0" fontId="0" fillId="8" borderId="1" xfId="0" applyFill="1" applyBorder="1"/>
    <xf numFmtId="0" fontId="0" fillId="9" borderId="1" xfId="0" applyFill="1" applyBorder="1"/>
    <xf numFmtId="0" fontId="2" fillId="7" borderId="0" xfId="0" applyFont="1" applyFill="1"/>
    <xf numFmtId="0" fontId="0" fillId="0" borderId="0" xfId="0" applyFill="1"/>
    <xf numFmtId="0" fontId="2" fillId="10" borderId="0" xfId="0" applyFont="1" applyFill="1"/>
    <xf numFmtId="0" fontId="0" fillId="10" borderId="0" xfId="0" applyFill="1"/>
    <xf numFmtId="0" fontId="0" fillId="10" borderId="1" xfId="0" applyFill="1" applyBorder="1"/>
    <xf numFmtId="0" fontId="2" fillId="0" borderId="1" xfId="0" applyFont="1" applyBorder="1"/>
    <xf numFmtId="0" fontId="2" fillId="0" borderId="5" xfId="0" applyFont="1" applyFill="1" applyBorder="1" applyAlignment="1">
      <alignment wrapText="1"/>
    </xf>
    <xf numFmtId="164" fontId="0" fillId="11" borderId="1" xfId="2" applyFont="1" applyFill="1" applyBorder="1"/>
    <xf numFmtId="0" fontId="0" fillId="4" borderId="1" xfId="0" applyFill="1" applyBorder="1"/>
    <xf numFmtId="164" fontId="0" fillId="4" borderId="1" xfId="2" applyFont="1" applyFill="1" applyBorder="1" applyAlignment="1">
      <alignment horizontal="right"/>
    </xf>
    <xf numFmtId="164" fontId="0" fillId="12" borderId="1" xfId="2" applyFont="1" applyFill="1" applyBorder="1"/>
    <xf numFmtId="164" fontId="0" fillId="13" borderId="1" xfId="2" applyFont="1" applyFill="1" applyBorder="1"/>
    <xf numFmtId="164" fontId="0" fillId="13" borderId="1" xfId="2" applyFont="1" applyFill="1" applyBorder="1" applyAlignment="1">
      <alignment horizontal="right"/>
    </xf>
    <xf numFmtId="164" fontId="0" fillId="10" borderId="1" xfId="2" applyFont="1" applyFill="1" applyBorder="1"/>
    <xf numFmtId="164" fontId="2" fillId="0" borderId="1" xfId="2" applyFont="1" applyBorder="1"/>
    <xf numFmtId="0" fontId="7" fillId="14" borderId="0" xfId="3" applyFont="1" applyFill="1"/>
    <xf numFmtId="0" fontId="7" fillId="14" borderId="0" xfId="3" applyFont="1" applyFill="1" applyAlignment="1">
      <alignment horizontal="right"/>
    </xf>
    <xf numFmtId="0" fontId="1" fillId="0" borderId="0" xfId="3" applyFont="1"/>
    <xf numFmtId="167" fontId="8" fillId="15" borderId="1" xfId="3" applyNumberFormat="1" applyFont="1" applyFill="1" applyBorder="1"/>
    <xf numFmtId="0" fontId="1" fillId="0" borderId="0" xfId="3" quotePrefix="1" applyFont="1" applyAlignment="1">
      <alignment horizontal="right"/>
    </xf>
    <xf numFmtId="0" fontId="0" fillId="0" borderId="0" xfId="3" applyFont="1"/>
    <xf numFmtId="0" fontId="8" fillId="15" borderId="1" xfId="3" applyFont="1" applyFill="1" applyBorder="1"/>
    <xf numFmtId="0" fontId="1" fillId="0" borderId="0" xfId="3" applyFont="1" applyAlignment="1">
      <alignment horizontal="right"/>
    </xf>
    <xf numFmtId="0" fontId="12" fillId="15" borderId="1" xfId="3" applyFont="1" applyFill="1" applyBorder="1"/>
    <xf numFmtId="167" fontId="12" fillId="15" borderId="1" xfId="3" applyNumberFormat="1" applyFont="1" applyFill="1" applyBorder="1"/>
    <xf numFmtId="167" fontId="12" fillId="15" borderId="1" xfId="3" applyNumberFormat="1" applyFont="1" applyFill="1" applyBorder="1" applyAlignment="1">
      <alignment horizontal="right"/>
    </xf>
    <xf numFmtId="0" fontId="1" fillId="3" borderId="0" xfId="3" applyFont="1" applyFill="1"/>
    <xf numFmtId="167" fontId="12" fillId="3" borderId="1" xfId="3" applyNumberFormat="1" applyFont="1" applyFill="1" applyBorder="1"/>
    <xf numFmtId="167" fontId="8" fillId="0" borderId="0" xfId="3" applyNumberFormat="1" applyFont="1" applyFill="1"/>
    <xf numFmtId="168" fontId="8" fillId="15" borderId="1" xfId="3" applyNumberFormat="1" applyFont="1" applyFill="1" applyBorder="1"/>
    <xf numFmtId="2" fontId="8" fillId="15" borderId="1" xfId="3" applyNumberFormat="1" applyFont="1" applyFill="1" applyBorder="1"/>
    <xf numFmtId="1" fontId="8" fillId="15" borderId="1" xfId="3" applyNumberFormat="1" applyFont="1" applyFill="1" applyBorder="1"/>
    <xf numFmtId="0" fontId="0" fillId="0" borderId="0" xfId="3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3" fontId="13" fillId="0" borderId="0" xfId="0" applyNumberFormat="1" applyFont="1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165" fontId="0" fillId="4" borderId="1" xfId="2" applyNumberFormat="1" applyFont="1" applyFill="1" applyBorder="1"/>
    <xf numFmtId="165" fontId="0" fillId="0" borderId="1" xfId="2" applyNumberFormat="1" applyFont="1" applyFill="1" applyBorder="1"/>
    <xf numFmtId="0" fontId="14" fillId="0" borderId="6" xfId="0" applyFont="1" applyBorder="1"/>
    <xf numFmtId="0" fontId="13" fillId="0" borderId="2" xfId="0" applyFont="1" applyBorder="1"/>
    <xf numFmtId="3" fontId="13" fillId="0" borderId="8" xfId="0" applyNumberFormat="1" applyFont="1" applyBorder="1" applyAlignment="1">
      <alignment horizontal="center"/>
    </xf>
    <xf numFmtId="3" fontId="13" fillId="0" borderId="8" xfId="0" applyNumberFormat="1" applyFont="1" applyBorder="1"/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17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wrapText="1"/>
    </xf>
    <xf numFmtId="0" fontId="14" fillId="4" borderId="1" xfId="0" applyFont="1" applyFill="1" applyBorder="1"/>
    <xf numFmtId="0" fontId="13" fillId="4" borderId="1" xfId="0" applyFont="1" applyFill="1" applyBorder="1"/>
    <xf numFmtId="0" fontId="14" fillId="17" borderId="2" xfId="0" applyFont="1" applyFill="1" applyBorder="1" applyAlignment="1"/>
    <xf numFmtId="0" fontId="13" fillId="17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165" fontId="11" fillId="4" borderId="1" xfId="2" applyNumberFormat="1" applyFont="1" applyFill="1" applyBorder="1"/>
    <xf numFmtId="165" fontId="11" fillId="0" borderId="1" xfId="2" applyNumberFormat="1" applyFont="1" applyBorder="1"/>
    <xf numFmtId="3" fontId="0" fillId="2" borderId="1" xfId="0" applyNumberFormat="1" applyFill="1" applyBorder="1"/>
    <xf numFmtId="0" fontId="14" fillId="2" borderId="3" xfId="0" applyFont="1" applyFill="1" applyBorder="1" applyAlignment="1"/>
    <xf numFmtId="0" fontId="13" fillId="2" borderId="3" xfId="0" applyFont="1" applyFill="1" applyBorder="1" applyAlignment="1"/>
    <xf numFmtId="3" fontId="13" fillId="0" borderId="0" xfId="0" applyNumberFormat="1" applyFont="1" applyBorder="1" applyAlignment="1">
      <alignment horizontal="center"/>
    </xf>
    <xf numFmtId="0" fontId="16" fillId="17" borderId="1" xfId="0" applyFont="1" applyFill="1" applyBorder="1"/>
    <xf numFmtId="0" fontId="0" fillId="0" borderId="1" xfId="0" quotePrefix="1" applyFill="1" applyBorder="1"/>
    <xf numFmtId="165" fontId="0" fillId="0" borderId="1" xfId="2" applyNumberFormat="1" applyFont="1" applyFill="1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Fill="1" applyBorder="1"/>
    <xf numFmtId="3" fontId="14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9" fontId="14" fillId="0" borderId="8" xfId="1" applyFont="1" applyFill="1" applyBorder="1" applyAlignment="1">
      <alignment horizontal="center"/>
    </xf>
    <xf numFmtId="0" fontId="13" fillId="18" borderId="1" xfId="0" applyFont="1" applyFill="1" applyBorder="1"/>
    <xf numFmtId="0" fontId="13" fillId="11" borderId="1" xfId="0" applyFont="1" applyFill="1" applyBorder="1"/>
    <xf numFmtId="0" fontId="13" fillId="19" borderId="1" xfId="0" applyFont="1" applyFill="1" applyBorder="1"/>
    <xf numFmtId="0" fontId="16" fillId="19" borderId="1" xfId="0" applyFont="1" applyFill="1" applyBorder="1"/>
    <xf numFmtId="0" fontId="14" fillId="9" borderId="1" xfId="0" applyFont="1" applyFill="1" applyBorder="1" applyAlignment="1">
      <alignment horizontal="center"/>
    </xf>
    <xf numFmtId="3" fontId="14" fillId="9" borderId="1" xfId="0" applyNumberFormat="1" applyFont="1" applyFill="1" applyBorder="1" applyAlignment="1">
      <alignment horizontal="center"/>
    </xf>
    <xf numFmtId="0" fontId="14" fillId="18" borderId="1" xfId="0" applyFont="1" applyFill="1" applyBorder="1"/>
    <xf numFmtId="3" fontId="14" fillId="16" borderId="1" xfId="0" applyNumberFormat="1" applyFont="1" applyFill="1" applyBorder="1" applyAlignment="1">
      <alignment horizontal="center"/>
    </xf>
    <xf numFmtId="3" fontId="18" fillId="16" borderId="1" xfId="0" applyNumberFormat="1" applyFont="1" applyFill="1" applyBorder="1" applyAlignment="1">
      <alignment horizontal="center"/>
    </xf>
    <xf numFmtId="168" fontId="0" fillId="0" borderId="1" xfId="0" applyNumberFormat="1" applyBorder="1"/>
    <xf numFmtId="9" fontId="0" fillId="2" borderId="1" xfId="1" applyFont="1" applyFill="1" applyBorder="1"/>
    <xf numFmtId="0" fontId="13" fillId="0" borderId="0" xfId="0" applyFont="1" applyFill="1" applyBorder="1"/>
    <xf numFmtId="0" fontId="13" fillId="0" borderId="15" xfId="0" applyFont="1" applyBorder="1"/>
    <xf numFmtId="0" fontId="16" fillId="0" borderId="15" xfId="0" applyFont="1" applyFill="1" applyBorder="1" applyAlignment="1"/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/>
    </xf>
    <xf numFmtId="0" fontId="14" fillId="17" borderId="2" xfId="0" applyFont="1" applyFill="1" applyBorder="1" applyAlignment="1">
      <alignment horizontal="center" wrapText="1"/>
    </xf>
    <xf numFmtId="3" fontId="14" fillId="17" borderId="1" xfId="0" applyNumberFormat="1" applyFont="1" applyFill="1" applyBorder="1" applyAlignment="1">
      <alignment horizontal="center" wrapText="1"/>
    </xf>
    <xf numFmtId="3" fontId="14" fillId="9" borderId="1" xfId="0" applyNumberFormat="1" applyFont="1" applyFill="1" applyBorder="1" applyAlignment="1">
      <alignment horizontal="center" wrapText="1"/>
    </xf>
    <xf numFmtId="3" fontId="13" fillId="9" borderId="1" xfId="0" applyNumberFormat="1" applyFont="1" applyFill="1" applyBorder="1" applyAlignment="1">
      <alignment horizontal="center" wrapText="1"/>
    </xf>
    <xf numFmtId="0" fontId="14" fillId="17" borderId="1" xfId="0" applyFont="1" applyFill="1" applyBorder="1" applyAlignment="1">
      <alignment horizontal="center" wrapText="1"/>
    </xf>
    <xf numFmtId="3" fontId="13" fillId="9" borderId="1" xfId="0" applyNumberFormat="1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3" fontId="16" fillId="16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14" fillId="19" borderId="1" xfId="0" applyFont="1" applyFill="1" applyBorder="1"/>
    <xf numFmtId="0" fontId="14" fillId="19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 wrapText="1"/>
    </xf>
    <xf numFmtId="0" fontId="22" fillId="0" borderId="1" xfId="0" applyFont="1" applyBorder="1"/>
    <xf numFmtId="0" fontId="2" fillId="11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13" fillId="6" borderId="1" xfId="0" applyFont="1" applyFill="1" applyBorder="1"/>
    <xf numFmtId="0" fontId="0" fillId="0" borderId="0" xfId="0" applyAlignment="1">
      <alignment wrapText="1"/>
    </xf>
    <xf numFmtId="0" fontId="14" fillId="19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3" fontId="13" fillId="0" borderId="1" xfId="0" applyNumberFormat="1" applyFont="1" applyBorder="1" applyAlignment="1" applyProtection="1">
      <alignment horizontal="center" wrapText="1"/>
      <protection locked="0"/>
    </xf>
    <xf numFmtId="3" fontId="13" fillId="0" borderId="1" xfId="0" applyNumberFormat="1" applyFont="1" applyBorder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169" fontId="13" fillId="0" borderId="1" xfId="0" applyNumberFormat="1" applyFont="1" applyFill="1" applyBorder="1" applyAlignment="1" applyProtection="1">
      <alignment horizontal="center"/>
      <protection locked="0"/>
    </xf>
    <xf numFmtId="165" fontId="0" fillId="0" borderId="1" xfId="2" applyNumberFormat="1" applyFont="1" applyBorder="1" applyProtection="1"/>
    <xf numFmtId="9" fontId="18" fillId="16" borderId="1" xfId="1" applyFont="1" applyFill="1" applyBorder="1" applyAlignment="1">
      <alignment horizontal="center"/>
    </xf>
    <xf numFmtId="9" fontId="14" fillId="16" borderId="2" xfId="1" applyFont="1" applyFill="1" applyBorder="1" applyAlignment="1">
      <alignment horizontal="center" vertical="center"/>
    </xf>
    <xf numFmtId="9" fontId="14" fillId="16" borderId="5" xfId="1" applyFont="1" applyFill="1" applyBorder="1" applyAlignment="1">
      <alignment horizontal="center" vertical="center"/>
    </xf>
    <xf numFmtId="9" fontId="14" fillId="16" borderId="16" xfId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3" fillId="0" borderId="4" xfId="0" applyNumberFormat="1" applyFont="1" applyBorder="1" applyAlignment="1" applyProtection="1">
      <alignment horizontal="center"/>
      <protection locked="0"/>
    </xf>
    <xf numFmtId="0" fontId="14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9" fontId="14" fillId="16" borderId="1" xfId="1" applyFont="1" applyFill="1" applyBorder="1" applyAlignment="1">
      <alignment horizontal="center"/>
    </xf>
    <xf numFmtId="9" fontId="16" fillId="16" borderId="1" xfId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6" fillId="16" borderId="3" xfId="0" applyNumberFormat="1" applyFont="1" applyFill="1" applyBorder="1" applyAlignment="1">
      <alignment horizontal="center"/>
    </xf>
    <xf numFmtId="3" fontId="16" fillId="16" borderId="4" xfId="0" applyNumberFormat="1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3" fontId="13" fillId="16" borderId="1" xfId="0" applyNumberFormat="1" applyFont="1" applyFill="1" applyBorder="1" applyAlignment="1">
      <alignment horizontal="center"/>
    </xf>
    <xf numFmtId="3" fontId="16" fillId="9" borderId="3" xfId="0" applyNumberFormat="1" applyFont="1" applyFill="1" applyBorder="1" applyAlignment="1">
      <alignment horizontal="center"/>
    </xf>
    <xf numFmtId="3" fontId="16" fillId="9" borderId="4" xfId="0" applyNumberFormat="1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5" fillId="10" borderId="0" xfId="0" applyFont="1" applyFill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7" fillId="9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 wrapText="1"/>
    </xf>
    <xf numFmtId="0" fontId="14" fillId="10" borderId="4" xfId="0" applyFont="1" applyFill="1" applyBorder="1" applyAlignment="1">
      <alignment horizontal="center" wrapText="1"/>
    </xf>
    <xf numFmtId="0" fontId="14" fillId="18" borderId="1" xfId="0" applyFont="1" applyFill="1" applyBorder="1" applyAlignment="1">
      <alignment horizontal="center" wrapText="1"/>
    </xf>
    <xf numFmtId="3" fontId="14" fillId="9" borderId="1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 applyProtection="1">
      <alignment horizontal="center"/>
      <protection locked="0"/>
    </xf>
    <xf numFmtId="3" fontId="13" fillId="0" borderId="17" xfId="0" applyNumberFormat="1" applyFont="1" applyFill="1" applyBorder="1" applyAlignment="1" applyProtection="1">
      <alignment horizontal="center"/>
      <protection locked="0"/>
    </xf>
    <xf numFmtId="3" fontId="13" fillId="0" borderId="4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3" fontId="16" fillId="16" borderId="1" xfId="0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F98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B111"/>
  <sheetViews>
    <sheetView tabSelected="1" zoomScaleNormal="100" workbookViewId="0">
      <selection activeCell="B10" sqref="B10:D10"/>
    </sheetView>
  </sheetViews>
  <sheetFormatPr defaultColWidth="9.140625" defaultRowHeight="14.25"/>
  <cols>
    <col min="1" max="1" width="57.7109375" style="67" bestFit="1" customWidth="1"/>
    <col min="2" max="2" width="34.5703125" style="67" bestFit="1" customWidth="1"/>
    <col min="3" max="3" width="32" style="67" customWidth="1"/>
    <col min="4" max="4" width="28.42578125" style="67" bestFit="1" customWidth="1"/>
    <col min="5" max="5" width="26.42578125" style="67" customWidth="1"/>
    <col min="6" max="6" width="19" style="67" bestFit="1" customWidth="1"/>
    <col min="7" max="7" width="24.85546875" style="67" bestFit="1" customWidth="1"/>
    <col min="8" max="9" width="9.140625" style="67"/>
    <col min="10" max="10" width="9.140625" style="67" customWidth="1"/>
    <col min="11" max="24" width="9.140625" style="67"/>
    <col min="25" max="25" width="0" style="67" hidden="1" customWidth="1"/>
    <col min="26" max="28" width="9.140625" style="67" hidden="1" customWidth="1"/>
    <col min="29" max="30" width="0" style="67" hidden="1" customWidth="1"/>
    <col min="31" max="16384" width="9.140625" style="67"/>
  </cols>
  <sheetData>
    <row r="2" spans="1:27" ht="18">
      <c r="A2" s="199" t="s">
        <v>43</v>
      </c>
      <c r="B2" s="199"/>
      <c r="C2" s="199"/>
      <c r="D2" s="199"/>
      <c r="E2" s="199"/>
      <c r="F2" s="199"/>
      <c r="G2" s="199"/>
      <c r="AA2" s="67" t="s">
        <v>0</v>
      </c>
    </row>
    <row r="3" spans="1:27" ht="18.75" thickBot="1">
      <c r="A3" s="103"/>
      <c r="B3" s="103"/>
      <c r="C3" s="103"/>
      <c r="D3" s="103"/>
      <c r="E3" s="103"/>
      <c r="F3" s="103"/>
      <c r="G3" s="103"/>
      <c r="AA3" s="67" t="s">
        <v>34</v>
      </c>
    </row>
    <row r="4" spans="1:27" ht="18" customHeight="1">
      <c r="A4" s="188" t="s">
        <v>212</v>
      </c>
      <c r="B4" s="189"/>
      <c r="C4" s="189"/>
      <c r="D4" s="189"/>
      <c r="E4" s="189"/>
      <c r="F4" s="189"/>
      <c r="G4" s="190"/>
    </row>
    <row r="5" spans="1:27" ht="18" customHeight="1" thickBot="1">
      <c r="A5" s="191"/>
      <c r="B5" s="192"/>
      <c r="C5" s="192"/>
      <c r="D5" s="192"/>
      <c r="E5" s="192"/>
      <c r="F5" s="192"/>
      <c r="G5" s="193"/>
      <c r="AA5" s="67" t="s">
        <v>69</v>
      </c>
    </row>
    <row r="6" spans="1:27" ht="18">
      <c r="A6" s="103"/>
      <c r="B6" s="103"/>
      <c r="C6" s="103"/>
      <c r="D6" s="103"/>
      <c r="E6" s="103"/>
      <c r="AA6" s="67" t="s">
        <v>70</v>
      </c>
    </row>
    <row r="7" spans="1:27" ht="15">
      <c r="A7" s="68" t="s">
        <v>44</v>
      </c>
      <c r="AA7" s="67" t="s">
        <v>71</v>
      </c>
    </row>
    <row r="8" spans="1:27">
      <c r="A8" s="110" t="s">
        <v>45</v>
      </c>
      <c r="B8" s="196"/>
      <c r="C8" s="197"/>
      <c r="D8" s="198"/>
    </row>
    <row r="9" spans="1:27">
      <c r="A9" s="110" t="s">
        <v>46</v>
      </c>
      <c r="B9" s="196"/>
      <c r="C9" s="197"/>
      <c r="D9" s="198"/>
      <c r="AA9" s="67" t="s">
        <v>35</v>
      </c>
    </row>
    <row r="10" spans="1:27">
      <c r="A10" s="110" t="s">
        <v>130</v>
      </c>
      <c r="B10" s="196"/>
      <c r="C10" s="197"/>
      <c r="D10" s="198"/>
      <c r="AA10" s="67" t="s">
        <v>1</v>
      </c>
    </row>
    <row r="11" spans="1:27">
      <c r="A11" s="110" t="s">
        <v>131</v>
      </c>
      <c r="B11" s="196"/>
      <c r="C11" s="197"/>
      <c r="D11" s="198"/>
    </row>
    <row r="12" spans="1:27">
      <c r="A12" s="110" t="s">
        <v>129</v>
      </c>
      <c r="B12" s="196"/>
      <c r="C12" s="197"/>
      <c r="D12" s="198"/>
      <c r="AA12" s="67" t="s">
        <v>2</v>
      </c>
    </row>
    <row r="13" spans="1:27">
      <c r="A13" s="110" t="s">
        <v>47</v>
      </c>
      <c r="B13" s="209"/>
      <c r="C13" s="210"/>
      <c r="D13" s="211"/>
      <c r="AA13" s="67" t="s">
        <v>36</v>
      </c>
    </row>
    <row r="15" spans="1:27" ht="18">
      <c r="A15" s="203" t="s">
        <v>48</v>
      </c>
      <c r="B15" s="203"/>
      <c r="C15" s="203"/>
      <c r="D15" s="203"/>
      <c r="E15" s="203"/>
      <c r="F15" s="203"/>
      <c r="G15" s="203"/>
    </row>
    <row r="17" spans="1:27" ht="15">
      <c r="A17" s="68" t="s">
        <v>49</v>
      </c>
    </row>
    <row r="18" spans="1:27" ht="30">
      <c r="A18" s="85" t="s">
        <v>51</v>
      </c>
      <c r="B18" s="86" t="s">
        <v>50</v>
      </c>
      <c r="C18" s="86" t="s">
        <v>55</v>
      </c>
      <c r="D18" s="86" t="s">
        <v>213</v>
      </c>
      <c r="E18" s="86" t="s">
        <v>85</v>
      </c>
      <c r="F18" s="212" t="s">
        <v>56</v>
      </c>
      <c r="G18" s="212"/>
    </row>
    <row r="19" spans="1:27">
      <c r="A19" s="109" t="s">
        <v>52</v>
      </c>
      <c r="B19" s="162"/>
      <c r="C19" s="156"/>
      <c r="D19" s="156"/>
      <c r="E19" s="129">
        <f>IF(B19="&gt;90%",D19*C19,0)</f>
        <v>0</v>
      </c>
      <c r="F19" s="170">
        <f>IF(B19&gt;0,'Ջեռուցման համակարգ'!K6,0)</f>
        <v>0</v>
      </c>
      <c r="G19" s="170"/>
      <c r="AA19" s="69"/>
    </row>
    <row r="20" spans="1:27" ht="30">
      <c r="A20" s="85"/>
      <c r="B20" s="86" t="s">
        <v>41</v>
      </c>
      <c r="C20" s="86" t="s">
        <v>55</v>
      </c>
      <c r="D20" s="86" t="s">
        <v>213</v>
      </c>
      <c r="E20" s="86" t="s">
        <v>85</v>
      </c>
      <c r="F20" s="212" t="s">
        <v>56</v>
      </c>
      <c r="G20" s="212"/>
      <c r="AA20" s="69"/>
    </row>
    <row r="21" spans="1:27">
      <c r="A21" s="109" t="s">
        <v>53</v>
      </c>
      <c r="B21" s="164"/>
      <c r="C21" s="157"/>
      <c r="D21" s="156"/>
      <c r="E21" s="129">
        <f>D21*C21</f>
        <v>0</v>
      </c>
      <c r="F21" s="170">
        <f>IF(C21&gt;0,('Ջեռուցման համակարգ'!K12+'Ջեռուցման համակարգ'!J12),0)</f>
        <v>0</v>
      </c>
      <c r="G21" s="170"/>
      <c r="AA21" s="69"/>
    </row>
    <row r="22" spans="1:27" s="69" customFormat="1" ht="15">
      <c r="A22" s="85" t="s">
        <v>54</v>
      </c>
      <c r="B22" s="134" t="s">
        <v>6</v>
      </c>
      <c r="C22" s="113" t="s">
        <v>6</v>
      </c>
      <c r="D22" s="131" t="s">
        <v>6</v>
      </c>
      <c r="E22" s="131">
        <f>SUM(E19:E21)</f>
        <v>0</v>
      </c>
      <c r="F22" s="194">
        <f>SUM(F19:G21)</f>
        <v>0</v>
      </c>
      <c r="G22" s="194"/>
    </row>
    <row r="23" spans="1:27" s="69" customFormat="1">
      <c r="C23" s="70"/>
      <c r="D23" s="70"/>
      <c r="E23" s="70"/>
      <c r="AA23" s="67"/>
    </row>
    <row r="24" spans="1:27" s="69" customFormat="1" ht="15">
      <c r="A24" s="68" t="s">
        <v>57</v>
      </c>
      <c r="C24" s="70"/>
      <c r="D24" s="70"/>
      <c r="E24" s="70"/>
      <c r="AA24" s="67"/>
    </row>
    <row r="25" spans="1:27" s="69" customFormat="1" ht="15">
      <c r="A25" s="96"/>
      <c r="B25" s="136" t="s">
        <v>55</v>
      </c>
      <c r="C25" s="201" t="s">
        <v>213</v>
      </c>
      <c r="D25" s="202"/>
      <c r="E25" s="200" t="s">
        <v>85</v>
      </c>
      <c r="F25" s="200"/>
      <c r="G25" s="200"/>
      <c r="AA25" s="67"/>
    </row>
    <row r="26" spans="1:27">
      <c r="A26" s="97" t="s">
        <v>58</v>
      </c>
      <c r="B26" s="158"/>
      <c r="C26" s="173"/>
      <c r="D26" s="174"/>
      <c r="E26" s="170">
        <f>B26*C26</f>
        <v>0</v>
      </c>
      <c r="F26" s="170"/>
      <c r="G26" s="170"/>
    </row>
    <row r="27" spans="1:27">
      <c r="A27" s="97" t="s">
        <v>206</v>
      </c>
      <c r="B27" s="158"/>
      <c r="C27" s="173"/>
      <c r="D27" s="174"/>
      <c r="E27" s="170">
        <f>B27*C27</f>
        <v>0</v>
      </c>
      <c r="F27" s="170"/>
      <c r="G27" s="170"/>
    </row>
    <row r="28" spans="1:27">
      <c r="A28" s="97" t="s">
        <v>60</v>
      </c>
      <c r="B28" s="158"/>
      <c r="C28" s="173"/>
      <c r="D28" s="174"/>
      <c r="E28" s="170">
        <f>B28*C28</f>
        <v>0</v>
      </c>
      <c r="F28" s="170"/>
      <c r="G28" s="170"/>
    </row>
    <row r="29" spans="1:27">
      <c r="A29" s="97" t="s">
        <v>61</v>
      </c>
      <c r="B29" s="158"/>
      <c r="C29" s="173"/>
      <c r="D29" s="174"/>
      <c r="E29" s="170">
        <f>B29*C29</f>
        <v>0</v>
      </c>
      <c r="F29" s="170"/>
      <c r="G29" s="170"/>
    </row>
    <row r="30" spans="1:27" ht="15">
      <c r="A30" s="96" t="s">
        <v>54</v>
      </c>
      <c r="B30" s="113" t="s">
        <v>6</v>
      </c>
      <c r="C30" s="185" t="s">
        <v>6</v>
      </c>
      <c r="D30" s="186"/>
      <c r="E30" s="194">
        <f>SUM(E26:G29)</f>
        <v>0</v>
      </c>
      <c r="F30" s="194"/>
      <c r="G30" s="194"/>
    </row>
    <row r="32" spans="1:27" ht="15">
      <c r="A32" s="68" t="s">
        <v>208</v>
      </c>
    </row>
    <row r="33" spans="1:7" ht="30">
      <c r="A33" s="87"/>
      <c r="B33" s="133" t="s">
        <v>63</v>
      </c>
      <c r="C33" s="133" t="s">
        <v>55</v>
      </c>
      <c r="D33" s="122" t="s">
        <v>65</v>
      </c>
      <c r="E33" s="122" t="s">
        <v>85</v>
      </c>
      <c r="F33" s="123" t="s">
        <v>56</v>
      </c>
      <c r="G33" s="123"/>
    </row>
    <row r="34" spans="1:7">
      <c r="A34" s="88" t="s">
        <v>62</v>
      </c>
      <c r="B34" s="159"/>
      <c r="C34" s="159"/>
      <c r="D34" s="158"/>
      <c r="E34" s="129">
        <f>D34*C34</f>
        <v>0</v>
      </c>
      <c r="F34" s="170">
        <f>IF(B34&gt;0,'Վերականգնվող էներգիա'!K6,0)</f>
        <v>0</v>
      </c>
      <c r="G34" s="170"/>
    </row>
    <row r="35" spans="1:7">
      <c r="A35" s="78"/>
      <c r="B35" s="82"/>
      <c r="C35" s="81"/>
      <c r="D35" s="80"/>
      <c r="E35" s="79"/>
      <c r="F35" s="98"/>
    </row>
    <row r="36" spans="1:7" ht="30">
      <c r="A36" s="87"/>
      <c r="B36" s="122" t="s">
        <v>66</v>
      </c>
      <c r="C36" s="133" t="s">
        <v>55</v>
      </c>
      <c r="D36" s="122" t="s">
        <v>64</v>
      </c>
      <c r="E36" s="122" t="s">
        <v>85</v>
      </c>
      <c r="F36" s="123" t="s">
        <v>56</v>
      </c>
      <c r="G36" s="123"/>
    </row>
    <row r="37" spans="1:7">
      <c r="A37" s="88" t="s">
        <v>207</v>
      </c>
      <c r="B37" s="159"/>
      <c r="C37" s="157"/>
      <c r="D37" s="161"/>
      <c r="E37" s="129">
        <f>D37*C37</f>
        <v>0</v>
      </c>
      <c r="F37" s="170">
        <f>IF(B37&gt;0,'Վերականգնվող էներգիա'!J14,0)</f>
        <v>0</v>
      </c>
      <c r="G37" s="170"/>
    </row>
    <row r="38" spans="1:7" ht="15">
      <c r="A38" s="71"/>
      <c r="B38" s="72"/>
      <c r="C38" s="71"/>
      <c r="D38" s="73"/>
      <c r="E38" s="73"/>
    </row>
    <row r="39" spans="1:7" ht="15">
      <c r="A39" s="68" t="s">
        <v>67</v>
      </c>
    </row>
    <row r="40" spans="1:7" ht="15">
      <c r="A40" s="87"/>
      <c r="B40" s="133" t="s">
        <v>55</v>
      </c>
      <c r="C40" s="171" t="s">
        <v>65</v>
      </c>
      <c r="D40" s="172"/>
      <c r="E40" s="213" t="s">
        <v>85</v>
      </c>
      <c r="F40" s="213"/>
      <c r="G40" s="213"/>
    </row>
    <row r="41" spans="1:7">
      <c r="A41" s="88" t="s">
        <v>58</v>
      </c>
      <c r="B41" s="158"/>
      <c r="C41" s="173"/>
      <c r="D41" s="174"/>
      <c r="E41" s="170">
        <f>B41*C41</f>
        <v>0</v>
      </c>
      <c r="F41" s="170"/>
      <c r="G41" s="170"/>
    </row>
    <row r="42" spans="1:7">
      <c r="A42" s="88" t="s">
        <v>68</v>
      </c>
      <c r="B42" s="158"/>
      <c r="C42" s="173"/>
      <c r="D42" s="174"/>
      <c r="E42" s="170">
        <f>B42*C42</f>
        <v>0</v>
      </c>
      <c r="F42" s="170"/>
      <c r="G42" s="170"/>
    </row>
    <row r="43" spans="1:7">
      <c r="A43" s="88" t="s">
        <v>60</v>
      </c>
      <c r="B43" s="158"/>
      <c r="C43" s="173"/>
      <c r="D43" s="174"/>
      <c r="E43" s="170">
        <f>B43*C43</f>
        <v>0</v>
      </c>
      <c r="F43" s="170"/>
      <c r="G43" s="170"/>
    </row>
    <row r="44" spans="1:7">
      <c r="A44" s="88" t="s">
        <v>61</v>
      </c>
      <c r="B44" s="158"/>
      <c r="C44" s="173"/>
      <c r="D44" s="174"/>
      <c r="E44" s="170">
        <f>B44*C44</f>
        <v>0</v>
      </c>
      <c r="F44" s="170"/>
      <c r="G44" s="170"/>
    </row>
    <row r="45" spans="1:7" ht="15">
      <c r="A45" s="87" t="s">
        <v>54</v>
      </c>
      <c r="B45" s="158"/>
      <c r="C45" s="173"/>
      <c r="D45" s="174"/>
      <c r="E45" s="208">
        <f>SUM(E41:G44)</f>
        <v>0</v>
      </c>
      <c r="F45" s="208"/>
      <c r="G45" s="208"/>
    </row>
    <row r="48" spans="1:7" ht="15">
      <c r="A48" s="195"/>
      <c r="B48" s="195"/>
    </row>
    <row r="49" spans="1:7" ht="15">
      <c r="A49" s="132" t="s">
        <v>81</v>
      </c>
    </row>
    <row r="50" spans="1:7" ht="30">
      <c r="A50" s="89" t="s">
        <v>72</v>
      </c>
      <c r="B50" s="124" t="s">
        <v>80</v>
      </c>
      <c r="C50" s="130" t="s">
        <v>82</v>
      </c>
      <c r="D50" s="130" t="s">
        <v>83</v>
      </c>
      <c r="E50" s="130" t="s">
        <v>84</v>
      </c>
      <c r="F50" s="125" t="s">
        <v>85</v>
      </c>
      <c r="G50" s="125" t="s">
        <v>56</v>
      </c>
    </row>
    <row r="51" spans="1:7">
      <c r="A51" s="90" t="s">
        <v>73</v>
      </c>
      <c r="B51" s="163"/>
      <c r="C51" s="160"/>
      <c r="D51" s="160"/>
      <c r="E51" s="160"/>
      <c r="F51" s="127">
        <f>IF(C51&gt;=7,E51*D51,0)</f>
        <v>0</v>
      </c>
      <c r="G51" s="127" t="str">
        <f>IF(C51&gt;=7,IF(B51="Պատեր",Ջերմամեկուսացում!$K$6,IF(B51="Առաստաղ",Ջերմամեկուսացում!K13,IF(Մուտքային!B51="Պատեր և առաստաղ",Ջերմամեկուսացում!$K$6+Ջերմամեկուսացում!$K$13,"Ոչ արդյունավետ"))),"Ոչ արդյունավետ")</f>
        <v>Ոչ արդյունավետ</v>
      </c>
    </row>
    <row r="52" spans="1:7">
      <c r="A52" s="90" t="s">
        <v>74</v>
      </c>
      <c r="B52" s="163"/>
      <c r="C52" s="160"/>
      <c r="D52" s="160"/>
      <c r="E52" s="160"/>
      <c r="F52" s="127">
        <f>IF(C52&gt;=5,E52*D52,0)</f>
        <v>0</v>
      </c>
      <c r="G52" s="127" t="str">
        <f>IF(C52&gt;=5,IF(B52="Պատեր",Ջերմամեկուսացում!$K$6,IF(B52="Առաստաղ",Ջերմամեկուսացում!K13,IF(Մուտքային!B52="Պատեր և առաստաղ",Ջերմամեկուսացում!$K$6+Ջերմամեկուսացում!$K$13,0))),"Ոչ արդյունավետ")</f>
        <v>Ոչ արդյունավետ</v>
      </c>
    </row>
    <row r="53" spans="1:7">
      <c r="A53" s="90" t="s">
        <v>75</v>
      </c>
      <c r="B53" s="163"/>
      <c r="C53" s="160"/>
      <c r="D53" s="160"/>
      <c r="E53" s="160"/>
      <c r="F53" s="127">
        <f>IF(C53&gt;=6,E53*D53,0)</f>
        <v>0</v>
      </c>
      <c r="G53" s="127" t="str">
        <f>IF(C53&gt;=6,IF(B53="Պատեր",Ջերմամեկուսացում!$K$6,IF(B53="Առաստաղ",Ջերմամեկուսացում!K13,IF(Մուտքային!B53="Պատեր և առաստաղ",Ջերմամեկուսացում!$K$6+Ջերմամեկուսացում!$K$13,0))),"Ոչ արդյունավետ")</f>
        <v>Ոչ արդյունավետ</v>
      </c>
    </row>
    <row r="54" spans="1:7">
      <c r="A54" s="90" t="s">
        <v>76</v>
      </c>
      <c r="B54" s="163"/>
      <c r="C54" s="160"/>
      <c r="D54" s="160"/>
      <c r="E54" s="160"/>
      <c r="F54" s="127">
        <f>IF(C54&gt;=7,E54*D54,0)</f>
        <v>0</v>
      </c>
      <c r="G54" s="127" t="str">
        <f>IF(C54&gt;=7,IF(B54="Պատեր",Ջերմամեկուսացում!$K$6,IF(B54="Առաստաղ",Ջերմամեկուսացում!K13,IF(Մուտքային!B54="Պատեր և առաստաղ",Ջերմամեկուսացում!$K$6+Ջերմամեկուսացում!$K$13,0))),"Ոչ արդյունավետ")</f>
        <v>Ոչ արդյունավետ</v>
      </c>
    </row>
    <row r="55" spans="1:7">
      <c r="A55" s="90" t="s">
        <v>77</v>
      </c>
      <c r="B55" s="163"/>
      <c r="C55" s="160"/>
      <c r="D55" s="160"/>
      <c r="E55" s="160"/>
      <c r="F55" s="127">
        <f>IF(C55&gt;=6,E55*D55,0)</f>
        <v>0</v>
      </c>
      <c r="G55" s="127" t="str">
        <f>IF(C55&gt;=6,IF(B55="Պատեր",Ջերմամեկուսացում!$K$6,IF(B55="Առաստաղ",Ջերմամեկուսացում!K13,IF(Մուտքային!B55="Պատեր և առաստաղ",Ջերմամեկուսացում!$K$6+Ջերմամեկուսացում!$K$13,0))),"Ոչ արդյունավետ")</f>
        <v>Ոչ արդյունավետ</v>
      </c>
    </row>
    <row r="56" spans="1:7">
      <c r="A56" s="90" t="s">
        <v>78</v>
      </c>
      <c r="B56" s="163"/>
      <c r="C56" s="160"/>
      <c r="D56" s="160"/>
      <c r="E56" s="160"/>
      <c r="F56" s="127">
        <f>IF(C56&gt;=10,E56*D56,0)</f>
        <v>0</v>
      </c>
      <c r="G56" s="127" t="str">
        <f>IF(C56&gt;=10,IF(B56="Պատեր",Ջերմամեկուսացում!$K$6,IF(B56="Առաստաղ",Ջերմամեկուսացում!K13,IF(Մուտքային!B56="Պատեր և առաստաղ",Ջերմամեկուսացում!$K$6+Ջերմամեկուսացում!$K$13,0))),"Ոչ արդյունավետ")</f>
        <v>Ոչ արդյունավետ</v>
      </c>
    </row>
    <row r="57" spans="1:7">
      <c r="A57" s="90" t="s">
        <v>79</v>
      </c>
      <c r="B57" s="163"/>
      <c r="C57" s="160"/>
      <c r="D57" s="160"/>
      <c r="E57" s="160"/>
      <c r="F57" s="127">
        <f>IF(C57&gt;=4,E57*D57,0)</f>
        <v>0</v>
      </c>
      <c r="G57" s="127" t="str">
        <f>IF(C57&gt;=4,IF(B57="Պատեր",Ջերմամեկուսացում!$K$6,IF(B57="Առաստաղ",Ջերմամեկուսացում!K13,IF(Մուտքային!B57="Պատեր և առաստաղ",Ջերմամեկուսացում!$K$6+Ջերմամեկուսացում!$K$13,0))),"Ոչ արդյունավետ")</f>
        <v>Ոչ արդյունավետ</v>
      </c>
    </row>
    <row r="58" spans="1:7" ht="15">
      <c r="A58" s="84" t="s">
        <v>54</v>
      </c>
      <c r="B58" s="112"/>
      <c r="C58" s="126" t="s">
        <v>6</v>
      </c>
      <c r="D58" s="126" t="s">
        <v>6</v>
      </c>
      <c r="E58" s="126" t="s">
        <v>6</v>
      </c>
      <c r="F58" s="126">
        <f>SUM(F51:F57)</f>
        <v>0</v>
      </c>
      <c r="G58" s="126">
        <f>SUM(G51:G57)</f>
        <v>0</v>
      </c>
    </row>
    <row r="59" spans="1:7" ht="15">
      <c r="A59" s="71"/>
      <c r="B59" s="71"/>
      <c r="C59" s="71"/>
      <c r="D59" s="72"/>
      <c r="E59" s="71"/>
    </row>
    <row r="60" spans="1:7" ht="15">
      <c r="A60" s="68" t="s">
        <v>86</v>
      </c>
    </row>
    <row r="61" spans="1:7" ht="15">
      <c r="A61" s="84"/>
      <c r="B61" s="130" t="s">
        <v>55</v>
      </c>
      <c r="C61" s="182" t="s">
        <v>87</v>
      </c>
      <c r="D61" s="183"/>
      <c r="E61" s="187" t="s">
        <v>85</v>
      </c>
      <c r="F61" s="187"/>
      <c r="G61" s="187"/>
    </row>
    <row r="62" spans="1:7">
      <c r="A62" s="90" t="s">
        <v>58</v>
      </c>
      <c r="B62" s="161"/>
      <c r="C62" s="173"/>
      <c r="D62" s="174"/>
      <c r="E62" s="170">
        <f>C62*B62</f>
        <v>0</v>
      </c>
      <c r="F62" s="170"/>
      <c r="G62" s="170"/>
    </row>
    <row r="63" spans="1:7">
      <c r="A63" s="90" t="s">
        <v>59</v>
      </c>
      <c r="B63" s="161"/>
      <c r="C63" s="173"/>
      <c r="D63" s="174"/>
      <c r="E63" s="170">
        <f>C63*B63</f>
        <v>0</v>
      </c>
      <c r="F63" s="170"/>
      <c r="G63" s="170"/>
    </row>
    <row r="64" spans="1:7">
      <c r="A64" s="90" t="s">
        <v>60</v>
      </c>
      <c r="B64" s="161"/>
      <c r="C64" s="173"/>
      <c r="D64" s="174"/>
      <c r="E64" s="170">
        <f>C64*B64</f>
        <v>0</v>
      </c>
      <c r="F64" s="170"/>
      <c r="G64" s="170"/>
    </row>
    <row r="65" spans="1:7">
      <c r="A65" s="90" t="s">
        <v>61</v>
      </c>
      <c r="B65" s="161"/>
      <c r="C65" s="173"/>
      <c r="D65" s="174"/>
      <c r="E65" s="170">
        <f>C65*B65</f>
        <v>0</v>
      </c>
      <c r="F65" s="170"/>
      <c r="G65" s="170"/>
    </row>
    <row r="66" spans="1:7" ht="15">
      <c r="A66" s="84" t="s">
        <v>54</v>
      </c>
      <c r="B66" s="113" t="s">
        <v>6</v>
      </c>
      <c r="C66" s="185" t="s">
        <v>6</v>
      </c>
      <c r="D66" s="186"/>
      <c r="E66" s="194">
        <f>SUM(E62:G65)</f>
        <v>0</v>
      </c>
      <c r="F66" s="194"/>
      <c r="G66" s="194"/>
    </row>
    <row r="68" spans="1:7" ht="15">
      <c r="A68" s="68" t="s">
        <v>88</v>
      </c>
    </row>
    <row r="69" spans="1:7" ht="30">
      <c r="A69" s="99"/>
      <c r="B69" s="128" t="s">
        <v>90</v>
      </c>
      <c r="C69" s="130" t="s">
        <v>55</v>
      </c>
      <c r="D69" s="128" t="s">
        <v>91</v>
      </c>
      <c r="E69" s="128" t="s">
        <v>85</v>
      </c>
      <c r="F69" s="187" t="s">
        <v>56</v>
      </c>
      <c r="G69" s="187"/>
    </row>
    <row r="70" spans="1:7">
      <c r="A70" s="90" t="s">
        <v>89</v>
      </c>
      <c r="B70" s="159"/>
      <c r="C70" s="158"/>
      <c r="D70" s="158"/>
      <c r="E70" s="129">
        <f>IF(B70="&lt;2.5",D70*C70,0)</f>
        <v>0</v>
      </c>
      <c r="F70" s="170">
        <f>Ջերմամեկուսացում!K21</f>
        <v>0</v>
      </c>
      <c r="G70" s="170"/>
    </row>
    <row r="71" spans="1:7">
      <c r="A71" s="69"/>
      <c r="B71" s="69"/>
      <c r="C71" s="69"/>
      <c r="D71" s="69"/>
      <c r="E71" s="69"/>
    </row>
    <row r="72" spans="1:7" ht="15">
      <c r="A72" s="68" t="s">
        <v>92</v>
      </c>
    </row>
    <row r="73" spans="1:7" ht="15">
      <c r="A73" s="84"/>
      <c r="B73" s="130" t="s">
        <v>55</v>
      </c>
      <c r="C73" s="182" t="s">
        <v>91</v>
      </c>
      <c r="D73" s="183"/>
      <c r="E73" s="187" t="s">
        <v>85</v>
      </c>
      <c r="F73" s="187"/>
      <c r="G73" s="187"/>
    </row>
    <row r="74" spans="1:7">
      <c r="A74" s="90" t="s">
        <v>58</v>
      </c>
      <c r="B74" s="159"/>
      <c r="C74" s="173"/>
      <c r="D74" s="174"/>
      <c r="E74" s="170">
        <f>C74*B74</f>
        <v>0</v>
      </c>
      <c r="F74" s="170"/>
      <c r="G74" s="170"/>
    </row>
    <row r="75" spans="1:7">
      <c r="A75" s="90" t="s">
        <v>59</v>
      </c>
      <c r="B75" s="159"/>
      <c r="C75" s="173"/>
      <c r="D75" s="174"/>
      <c r="E75" s="170">
        <f>C75*B75</f>
        <v>0</v>
      </c>
      <c r="F75" s="170"/>
      <c r="G75" s="170"/>
    </row>
    <row r="76" spans="1:7">
      <c r="A76" s="90" t="s">
        <v>93</v>
      </c>
      <c r="B76" s="159"/>
      <c r="C76" s="173"/>
      <c r="D76" s="174"/>
      <c r="E76" s="170">
        <f>C76*B76</f>
        <v>0</v>
      </c>
      <c r="F76" s="170"/>
      <c r="G76" s="170"/>
    </row>
    <row r="77" spans="1:7">
      <c r="A77" s="90" t="s">
        <v>61</v>
      </c>
      <c r="B77" s="159"/>
      <c r="C77" s="173"/>
      <c r="D77" s="174"/>
      <c r="E77" s="170">
        <f>C77*B77</f>
        <v>0</v>
      </c>
      <c r="F77" s="170"/>
      <c r="G77" s="170"/>
    </row>
    <row r="78" spans="1:7" ht="15">
      <c r="A78" s="84" t="s">
        <v>54</v>
      </c>
      <c r="B78" s="112" t="s">
        <v>6</v>
      </c>
      <c r="C78" s="185" t="s">
        <v>6</v>
      </c>
      <c r="D78" s="186"/>
      <c r="E78" s="194">
        <f>SUM(E74:G77)</f>
        <v>0</v>
      </c>
      <c r="F78" s="194"/>
      <c r="G78" s="194"/>
    </row>
    <row r="80" spans="1:7" ht="15">
      <c r="A80" s="77" t="s">
        <v>94</v>
      </c>
    </row>
    <row r="81" spans="1:7" ht="30">
      <c r="A81" s="114"/>
      <c r="B81" s="137" t="s">
        <v>99</v>
      </c>
      <c r="C81" s="137" t="s">
        <v>55</v>
      </c>
      <c r="D81" s="137" t="s">
        <v>91</v>
      </c>
      <c r="E81" s="137" t="s">
        <v>85</v>
      </c>
      <c r="F81" s="207" t="s">
        <v>56</v>
      </c>
      <c r="G81" s="207"/>
    </row>
    <row r="82" spans="1:7">
      <c r="A82" s="108" t="s">
        <v>95</v>
      </c>
      <c r="B82" s="159"/>
      <c r="C82" s="159"/>
      <c r="D82" s="158"/>
      <c r="E82" s="129">
        <f>IF(B82="&gt;A+",D82*C82,0)</f>
        <v>0</v>
      </c>
      <c r="F82" s="170">
        <f>'Կենցաղային սարքեր'!J22</f>
        <v>0</v>
      </c>
      <c r="G82" s="170"/>
    </row>
    <row r="83" spans="1:7">
      <c r="A83" s="108" t="s">
        <v>96</v>
      </c>
      <c r="B83" s="159"/>
      <c r="C83" s="159"/>
      <c r="D83" s="158"/>
      <c r="E83" s="129">
        <f>IF(B83="&gt;A+",D83*C83,0)</f>
        <v>0</v>
      </c>
      <c r="F83" s="204">
        <f>'Կենցաղային սարքեր'!J14</f>
        <v>0</v>
      </c>
      <c r="G83" s="204"/>
    </row>
    <row r="84" spans="1:7">
      <c r="A84" s="108" t="s">
        <v>97</v>
      </c>
      <c r="B84" s="159"/>
      <c r="C84" s="159"/>
      <c r="D84" s="158"/>
      <c r="E84" s="129">
        <f>IF(B84="&gt;A+",D84*C84,0)</f>
        <v>0</v>
      </c>
      <c r="F84" s="170">
        <f>'Կենցաղային սարքեր'!J6</f>
        <v>0</v>
      </c>
      <c r="G84" s="170"/>
    </row>
    <row r="85" spans="1:7">
      <c r="A85" s="108" t="s">
        <v>98</v>
      </c>
      <c r="B85" s="159"/>
      <c r="C85" s="159"/>
      <c r="D85" s="158"/>
      <c r="E85" s="129">
        <f>IF(B85="&gt;A+",D85*C85,0)</f>
        <v>0</v>
      </c>
      <c r="F85" s="204">
        <f>'Կենցաղային սարքեր'!J30</f>
        <v>0</v>
      </c>
      <c r="G85" s="204"/>
    </row>
    <row r="86" spans="1:7" ht="15">
      <c r="A86" s="114" t="s">
        <v>54</v>
      </c>
      <c r="B86" s="112" t="s">
        <v>6</v>
      </c>
      <c r="C86" s="112" t="s">
        <v>6</v>
      </c>
      <c r="D86" s="113" t="s">
        <v>6</v>
      </c>
      <c r="E86" s="113">
        <f>SUM(E82:E85)</f>
        <v>0</v>
      </c>
      <c r="F86" s="194">
        <f>SUM(F82:G85)</f>
        <v>0</v>
      </c>
      <c r="G86" s="194"/>
    </row>
    <row r="87" spans="1:7" ht="15">
      <c r="A87" s="68"/>
      <c r="B87" s="68"/>
      <c r="C87" s="68"/>
      <c r="D87" s="68"/>
      <c r="E87" s="68"/>
    </row>
    <row r="88" spans="1:7" ht="15">
      <c r="A88" s="68" t="s">
        <v>100</v>
      </c>
    </row>
    <row r="89" spans="1:7" ht="17.25" customHeight="1">
      <c r="A89" s="92"/>
      <c r="B89" s="138" t="s">
        <v>55</v>
      </c>
      <c r="C89" s="138" t="s">
        <v>91</v>
      </c>
      <c r="D89" s="205" t="s">
        <v>85</v>
      </c>
      <c r="E89" s="206"/>
      <c r="F89" s="205" t="s">
        <v>56</v>
      </c>
      <c r="G89" s="206"/>
    </row>
    <row r="90" spans="1:7">
      <c r="A90" s="91" t="s">
        <v>101</v>
      </c>
      <c r="B90" s="158">
        <v>50</v>
      </c>
      <c r="C90" s="158">
        <v>1000</v>
      </c>
      <c r="D90" s="184">
        <f>C90*B90</f>
        <v>50000</v>
      </c>
      <c r="E90" s="184"/>
      <c r="F90" s="184">
        <f>Լուսավորություն!J5</f>
        <v>0</v>
      </c>
      <c r="G90" s="184"/>
    </row>
    <row r="92" spans="1:7" ht="15">
      <c r="A92" s="68" t="s">
        <v>102</v>
      </c>
    </row>
    <row r="93" spans="1:7" ht="15">
      <c r="A93" s="92"/>
      <c r="B93" s="138" t="s">
        <v>55</v>
      </c>
      <c r="C93" s="215" t="s">
        <v>91</v>
      </c>
      <c r="D93" s="216"/>
      <c r="E93" s="214" t="s">
        <v>85</v>
      </c>
      <c r="F93" s="214"/>
      <c r="G93" s="214"/>
    </row>
    <row r="94" spans="1:7">
      <c r="A94" s="91" t="s">
        <v>103</v>
      </c>
      <c r="B94" s="158"/>
      <c r="C94" s="173"/>
      <c r="D94" s="174"/>
      <c r="E94" s="184">
        <f>B94*C94</f>
        <v>0</v>
      </c>
      <c r="F94" s="184"/>
      <c r="G94" s="184"/>
    </row>
    <row r="95" spans="1:7">
      <c r="A95" s="91" t="s">
        <v>60</v>
      </c>
      <c r="B95" s="158"/>
      <c r="C95" s="173"/>
      <c r="D95" s="174"/>
      <c r="E95" s="184">
        <f>B95*C95</f>
        <v>0</v>
      </c>
      <c r="F95" s="184"/>
      <c r="G95" s="184"/>
    </row>
    <row r="96" spans="1:7">
      <c r="A96" s="91" t="s">
        <v>61</v>
      </c>
      <c r="B96" s="158"/>
      <c r="C96" s="173"/>
      <c r="D96" s="174"/>
      <c r="E96" s="184">
        <f>B96*C96</f>
        <v>0</v>
      </c>
      <c r="F96" s="184"/>
      <c r="G96" s="184"/>
    </row>
    <row r="97" spans="1:27" ht="15">
      <c r="A97" s="92" t="s">
        <v>54</v>
      </c>
      <c r="B97" s="115" t="s">
        <v>6</v>
      </c>
      <c r="C97" s="180" t="s">
        <v>6</v>
      </c>
      <c r="D97" s="181"/>
      <c r="E97" s="217">
        <f>SUM(E94:G96)</f>
        <v>0</v>
      </c>
      <c r="F97" s="217"/>
      <c r="G97" s="217"/>
    </row>
    <row r="98" spans="1:27" ht="15">
      <c r="A98" s="71"/>
      <c r="B98" s="69"/>
      <c r="C98" s="69"/>
      <c r="D98" s="74"/>
      <c r="E98" s="74"/>
    </row>
    <row r="99" spans="1:27" ht="15">
      <c r="A99" s="71" t="s">
        <v>104</v>
      </c>
      <c r="B99" s="69"/>
      <c r="C99" s="69"/>
      <c r="D99" s="74"/>
      <c r="E99" s="74"/>
      <c r="F99" s="69"/>
    </row>
    <row r="100" spans="1:27" ht="30">
      <c r="A100" s="139" t="s">
        <v>105</v>
      </c>
      <c r="B100" s="140" t="s">
        <v>106</v>
      </c>
      <c r="C100" s="175" t="s">
        <v>107</v>
      </c>
      <c r="D100" s="176"/>
      <c r="E100" s="141" t="s">
        <v>108</v>
      </c>
      <c r="F100" s="121"/>
      <c r="G100" s="119"/>
    </row>
    <row r="101" spans="1:27" ht="15">
      <c r="A101" s="139" t="s">
        <v>209</v>
      </c>
      <c r="B101" s="115">
        <f>E22+E37+F58+E70+E86+D90+E34</f>
        <v>50000</v>
      </c>
      <c r="C101" s="177" t="e">
        <f>B101/B13</f>
        <v>#DIV/0!</v>
      </c>
      <c r="D101" s="177"/>
      <c r="E101" s="167" t="e">
        <f>IF(C103&gt;=40%,"ԱՅՈ","ՈՉ")</f>
        <v>#DIV/0!</v>
      </c>
      <c r="F101" s="120"/>
      <c r="AA101" s="106"/>
    </row>
    <row r="102" spans="1:27" ht="15">
      <c r="A102" s="155" t="s">
        <v>210</v>
      </c>
      <c r="B102" s="115">
        <f>E30+E46+E66+E78+E97</f>
        <v>0</v>
      </c>
      <c r="C102" s="177" t="e">
        <f>B102/B13</f>
        <v>#DIV/0!</v>
      </c>
      <c r="D102" s="177"/>
      <c r="E102" s="168"/>
    </row>
    <row r="103" spans="1:27" ht="15">
      <c r="A103" s="139" t="s">
        <v>211</v>
      </c>
      <c r="B103" s="115">
        <f>B102+B101</f>
        <v>50000</v>
      </c>
      <c r="C103" s="177" t="e">
        <f>B103/B13</f>
        <v>#DIV/0!</v>
      </c>
      <c r="D103" s="177"/>
      <c r="E103" s="169"/>
    </row>
    <row r="104" spans="1:27" s="106" customFormat="1" ht="15">
      <c r="A104" s="104"/>
      <c r="B104" s="105"/>
      <c r="C104" s="107"/>
      <c r="D104" s="107"/>
      <c r="AA104" s="67"/>
    </row>
    <row r="105" spans="1:27" ht="15">
      <c r="A105" s="71" t="s">
        <v>215</v>
      </c>
      <c r="B105" s="83"/>
      <c r="C105" s="179"/>
      <c r="D105" s="179"/>
    </row>
    <row r="106" spans="1:27" ht="16.5">
      <c r="A106" s="111"/>
      <c r="B106" s="140" t="s">
        <v>214</v>
      </c>
      <c r="C106" s="175" t="s">
        <v>109</v>
      </c>
      <c r="D106" s="176"/>
    </row>
    <row r="107" spans="1:27" ht="15">
      <c r="A107" s="139" t="s">
        <v>110</v>
      </c>
      <c r="B107" s="135">
        <f>F90+F70+F86+G58+F22</f>
        <v>0</v>
      </c>
      <c r="C107" s="178">
        <f>B107/('Ելակետային ընդհանուր տվյալներ'!H6+'Ելակետային ընդհանուր տվյալներ'!H7)</f>
        <v>0</v>
      </c>
      <c r="D107" s="178"/>
    </row>
    <row r="108" spans="1:27" ht="15">
      <c r="A108" s="139" t="s">
        <v>111</v>
      </c>
      <c r="B108" s="116">
        <f>(F19+F21+F34+F70+Մուտքային!G58)*'Փոխարկման ֆակտորներ'!B2+(Մուտքային!F37+Մուտքային!F86+Մուտքային!F90)*'Փոխարկման ֆակտորներ'!B3</f>
        <v>0</v>
      </c>
      <c r="C108" s="166">
        <f>B108/('Ելակետային ընդհանուր տվյալներ'!H6*'Փոխարկման ֆակտորներ'!B2+'Ելակետային ընդհանուր տվյալներ'!H7*'Փոխարկման ֆակտորներ'!B3)</f>
        <v>0</v>
      </c>
      <c r="D108" s="166"/>
    </row>
    <row r="109" spans="1:27" ht="16.5">
      <c r="A109" s="139" t="s">
        <v>112</v>
      </c>
      <c r="B109" s="116">
        <f>(F19+F21+F34+F70+Մուտքային!G58)*'Փոխարկման ֆակտորներ'!B9/1000+(Մուտքային!F37+Մուտքային!F86+Մուտքային!F90)*'Փոխարկման ֆակտորներ'!B10/1000</f>
        <v>0</v>
      </c>
      <c r="C109" s="166">
        <f>B109/('Ելակետային ընդհանուր տվյալներ'!H6*'Փոխարկման ֆակտորներ'!B9/1000+'Ելակետային ընդհանուր տվյալներ'!H7*'Փոխարկման ֆակտորներ'!B10/1000)</f>
        <v>0</v>
      </c>
      <c r="D109" s="166"/>
    </row>
    <row r="110" spans="1:27">
      <c r="A110" s="69"/>
      <c r="B110" s="69"/>
    </row>
    <row r="111" spans="1:27">
      <c r="A111" s="69"/>
      <c r="B111" s="69"/>
    </row>
  </sheetData>
  <sheetProtection algorithmName="SHA-512" hashValue="YyS/ANLyNyflnFEP9qMCWBsD6rXDJ9gmFCXfL9PW5k85j8XHq3lzugp+Rza7XVZpFlHwwo7ZzO31CipWtg9mVA==" saltValue="n8Yq1Z2Oz5RrMzSmDdN1rw==" spinCount="100000" sheet="1" objects="1" scenarios="1" formatCells="0" formatColumns="0" formatRows="0"/>
  <mergeCells count="97">
    <mergeCell ref="E77:G77"/>
    <mergeCell ref="C106:D106"/>
    <mergeCell ref="C108:D108"/>
    <mergeCell ref="E93:G93"/>
    <mergeCell ref="E94:G94"/>
    <mergeCell ref="D89:E89"/>
    <mergeCell ref="D90:E90"/>
    <mergeCell ref="C94:D94"/>
    <mergeCell ref="C95:D95"/>
    <mergeCell ref="C96:D96"/>
    <mergeCell ref="F90:G90"/>
    <mergeCell ref="C93:D93"/>
    <mergeCell ref="E97:G97"/>
    <mergeCell ref="E78:G78"/>
    <mergeCell ref="F84:G84"/>
    <mergeCell ref="E40:G40"/>
    <mergeCell ref="E41:G41"/>
    <mergeCell ref="E42:G42"/>
    <mergeCell ref="E43:G43"/>
    <mergeCell ref="E44:G44"/>
    <mergeCell ref="F85:G85"/>
    <mergeCell ref="F86:G86"/>
    <mergeCell ref="F89:G89"/>
    <mergeCell ref="F81:G81"/>
    <mergeCell ref="F82:G82"/>
    <mergeCell ref="F83:G83"/>
    <mergeCell ref="E96:G96"/>
    <mergeCell ref="A2:G2"/>
    <mergeCell ref="E25:G25"/>
    <mergeCell ref="E26:G26"/>
    <mergeCell ref="E27:G27"/>
    <mergeCell ref="E28:G28"/>
    <mergeCell ref="C25:D25"/>
    <mergeCell ref="C26:D26"/>
    <mergeCell ref="C27:D27"/>
    <mergeCell ref="C28:D28"/>
    <mergeCell ref="F22:G22"/>
    <mergeCell ref="A15:G15"/>
    <mergeCell ref="B8:D8"/>
    <mergeCell ref="B9:D9"/>
    <mergeCell ref="B10:D10"/>
    <mergeCell ref="B11:D11"/>
    <mergeCell ref="C77:D77"/>
    <mergeCell ref="E65:G65"/>
    <mergeCell ref="E66:G66"/>
    <mergeCell ref="C66:D66"/>
    <mergeCell ref="E61:G61"/>
    <mergeCell ref="E62:G62"/>
    <mergeCell ref="E63:G63"/>
    <mergeCell ref="E64:G64"/>
    <mergeCell ref="C75:D75"/>
    <mergeCell ref="F70:G70"/>
    <mergeCell ref="C62:D62"/>
    <mergeCell ref="C63:D63"/>
    <mergeCell ref="C64:D64"/>
    <mergeCell ref="C65:D65"/>
    <mergeCell ref="C61:D61"/>
    <mergeCell ref="E76:G76"/>
    <mergeCell ref="E75:G75"/>
    <mergeCell ref="F69:G69"/>
    <mergeCell ref="E73:G73"/>
    <mergeCell ref="E74:G74"/>
    <mergeCell ref="A4:G5"/>
    <mergeCell ref="F34:G34"/>
    <mergeCell ref="E29:G29"/>
    <mergeCell ref="E30:G30"/>
    <mergeCell ref="A48:B48"/>
    <mergeCell ref="B12:D12"/>
    <mergeCell ref="E45:G45"/>
    <mergeCell ref="B13:D13"/>
    <mergeCell ref="F18:G18"/>
    <mergeCell ref="F19:G19"/>
    <mergeCell ref="F20:G20"/>
    <mergeCell ref="F21:G21"/>
    <mergeCell ref="C76:D76"/>
    <mergeCell ref="C29:D29"/>
    <mergeCell ref="C44:D44"/>
    <mergeCell ref="C30:D30"/>
    <mergeCell ref="C42:D42"/>
    <mergeCell ref="C45:D45"/>
    <mergeCell ref="C43:D43"/>
    <mergeCell ref="C109:D109"/>
    <mergeCell ref="E101:E103"/>
    <mergeCell ref="F37:G37"/>
    <mergeCell ref="C40:D40"/>
    <mergeCell ref="C41:D41"/>
    <mergeCell ref="C100:D100"/>
    <mergeCell ref="C101:D101"/>
    <mergeCell ref="C102:D102"/>
    <mergeCell ref="C103:D103"/>
    <mergeCell ref="C107:D107"/>
    <mergeCell ref="C105:D105"/>
    <mergeCell ref="C97:D97"/>
    <mergeCell ref="C73:D73"/>
    <mergeCell ref="C74:D74"/>
    <mergeCell ref="E95:G95"/>
    <mergeCell ref="C78:D78"/>
  </mergeCells>
  <dataValidations count="4">
    <dataValidation type="list" allowBlank="1" showInputMessage="1" showErrorMessage="1" sqref="B51:B57">
      <formula1>$AA$5:$AA$7</formula1>
    </dataValidation>
    <dataValidation type="list" allowBlank="1" showInputMessage="1" showErrorMessage="1" sqref="B70:B71">
      <formula1>$AA$9:$AA$10</formula1>
    </dataValidation>
    <dataValidation type="list" allowBlank="1" showInputMessage="1" showErrorMessage="1" sqref="B82:B85">
      <formula1>$AA$12:$AA$13</formula1>
    </dataValidation>
    <dataValidation type="list" allowBlank="1" showInputMessage="1" showErrorMessage="1" sqref="B19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ignoredErrors>
    <ignoredError sqref="F54" formula="1"/>
    <ignoredError sqref="C101:C10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4"/>
  <sheetViews>
    <sheetView workbookViewId="0">
      <selection activeCell="D7" sqref="D7"/>
    </sheetView>
  </sheetViews>
  <sheetFormatPr defaultColWidth="11.42578125" defaultRowHeight="15"/>
  <cols>
    <col min="1" max="1" width="33.7109375" customWidth="1"/>
    <col min="2" max="2" width="29.140625" customWidth="1"/>
    <col min="3" max="3" width="24.42578125" customWidth="1"/>
    <col min="4" max="4" width="23.42578125" customWidth="1"/>
    <col min="5" max="5" width="22.28515625" customWidth="1"/>
    <col min="6" max="6" width="23.85546875" customWidth="1"/>
    <col min="7" max="7" width="0" hidden="1" customWidth="1"/>
  </cols>
  <sheetData>
    <row r="1" spans="1:7" ht="60">
      <c r="A1" s="39" t="s">
        <v>17</v>
      </c>
      <c r="B1" s="39" t="s">
        <v>113</v>
      </c>
      <c r="C1" s="14" t="s">
        <v>124</v>
      </c>
      <c r="D1" s="14" t="s">
        <v>125</v>
      </c>
      <c r="E1" s="14" t="s">
        <v>126</v>
      </c>
      <c r="F1" s="40" t="s">
        <v>127</v>
      </c>
    </row>
    <row r="2" spans="1:7">
      <c r="A2" s="143" t="s">
        <v>116</v>
      </c>
      <c r="B2" s="144" t="s">
        <v>114</v>
      </c>
      <c r="C2" s="41">
        <f>ROUND('Ջեռուցման համակարգ'!J6,-2)</f>
        <v>0</v>
      </c>
      <c r="D2" s="41">
        <f>ROUND('Ջեռուցման համակարգ'!K6,-1)</f>
        <v>0</v>
      </c>
      <c r="E2" s="41">
        <f>ROUND('Ջեռուցման համակարգ'!L6,-1)</f>
        <v>0</v>
      </c>
      <c r="F2" s="41">
        <f>ROUND('Ջեռուցման համակարգ'!M6,-1)</f>
        <v>0</v>
      </c>
    </row>
    <row r="3" spans="1:7">
      <c r="A3" s="143"/>
      <c r="B3" s="144" t="s">
        <v>53</v>
      </c>
      <c r="C3" s="41">
        <f>ROUND('Ջեռուցման համակարգ'!J12,-1)</f>
        <v>0</v>
      </c>
      <c r="D3" s="41">
        <f>ROUND('Ջեռուցման համակարգ'!K12,-1)</f>
        <v>0</v>
      </c>
      <c r="E3" s="41">
        <f>ROUND('Ջեռուցման համակարգ'!L12,-1)</f>
        <v>0</v>
      </c>
      <c r="F3" s="41">
        <f>ROUND('Ջեռուցման համակարգ'!M12,-1)</f>
        <v>0</v>
      </c>
    </row>
    <row r="4" spans="1:7">
      <c r="A4" s="145" t="s">
        <v>117</v>
      </c>
      <c r="B4" s="146" t="s">
        <v>62</v>
      </c>
      <c r="C4" s="43">
        <f>ROUND('Վերականգնվող էներգիա'!J6,-2)</f>
        <v>0</v>
      </c>
      <c r="D4" s="43">
        <f>0</f>
        <v>0</v>
      </c>
      <c r="E4" s="43">
        <f>ROUND('Վերականգնվող էներգիա'!L6,-1)</f>
        <v>0</v>
      </c>
      <c r="F4" s="43">
        <f>ROUND('Վերականգնվող էներգիա'!M6,-1)</f>
        <v>0</v>
      </c>
      <c r="G4" s="21" t="s">
        <v>9</v>
      </c>
    </row>
    <row r="5" spans="1:7">
      <c r="A5" s="145"/>
      <c r="B5" s="146" t="s">
        <v>115</v>
      </c>
      <c r="C5" s="43">
        <f>0</f>
        <v>0</v>
      </c>
      <c r="D5" s="43">
        <f>ROUND('Վերականգնվող էներգիա'!K14,-2)</f>
        <v>0</v>
      </c>
      <c r="E5" s="43">
        <f>ROUND('Վերականգնվող էներգիա'!L14,-1)</f>
        <v>0</v>
      </c>
      <c r="F5" s="43">
        <f>ROUND('Վերականգնվող էներգիա'!M14,-1)</f>
        <v>0</v>
      </c>
      <c r="G5" s="21" t="s">
        <v>9</v>
      </c>
    </row>
    <row r="6" spans="1:7">
      <c r="A6" s="147" t="s">
        <v>118</v>
      </c>
      <c r="B6" s="148" t="s">
        <v>119</v>
      </c>
      <c r="C6" s="44">
        <f>Ջերմամեկուսացում!J6</f>
        <v>0</v>
      </c>
      <c r="D6" s="44">
        <f>ROUND(Ջերմամեկուսացում!K6,-1)</f>
        <v>0</v>
      </c>
      <c r="E6" s="44">
        <f>ROUND(Ջերմամեկուսացում!L6,-1)</f>
        <v>0</v>
      </c>
      <c r="F6" s="44">
        <f>ROUND(Ջերմամեկուսացում!M6,-1)</f>
        <v>0</v>
      </c>
    </row>
    <row r="7" spans="1:7" ht="30">
      <c r="A7" s="147"/>
      <c r="B7" s="148" t="s">
        <v>120</v>
      </c>
      <c r="C7" s="44">
        <f>Ջերմամեկուսացում!J13</f>
        <v>0</v>
      </c>
      <c r="D7" s="44">
        <f>Ջերմամեկուսացում!K13</f>
        <v>0</v>
      </c>
      <c r="E7" s="44">
        <f>Ջերմամեկուսացում!L13</f>
        <v>0</v>
      </c>
      <c r="F7" s="44">
        <f>Ջերմամեկուսացում!M13</f>
        <v>0</v>
      </c>
    </row>
    <row r="8" spans="1:7">
      <c r="A8" s="147"/>
      <c r="B8" s="148" t="s">
        <v>89</v>
      </c>
      <c r="C8" s="44">
        <f>Ջերմամեկուսացում!J21</f>
        <v>0</v>
      </c>
      <c r="D8" s="44">
        <f>ROUND(Ջերմամեկուսացում!K21,-1)</f>
        <v>0</v>
      </c>
      <c r="E8" s="44">
        <f>ROUND(Ջերմամեկուսացում!L21,-1)</f>
        <v>0</v>
      </c>
      <c r="F8" s="44">
        <f>ROUND(Ջերմամեկուսացում!M21,-1)</f>
        <v>0</v>
      </c>
    </row>
    <row r="9" spans="1:7">
      <c r="A9" s="149" t="s">
        <v>123</v>
      </c>
      <c r="B9" s="150" t="s">
        <v>97</v>
      </c>
      <c r="C9" s="45">
        <f>ROUND('Կենցաղային սարքեր'!J6,-1)</f>
        <v>0</v>
      </c>
      <c r="D9" s="46" t="str">
        <f>'Կենցաղային սարքեր'!K6</f>
        <v>-</v>
      </c>
      <c r="E9" s="45">
        <f>ROUND('Կենցաղային սարքեր'!L6,-1)</f>
        <v>0</v>
      </c>
      <c r="F9" s="45">
        <f>ROUND('Կենցաղային սարքեր'!M6,-1)</f>
        <v>0</v>
      </c>
    </row>
    <row r="10" spans="1:7">
      <c r="A10" s="149"/>
      <c r="B10" s="150" t="s">
        <v>96</v>
      </c>
      <c r="C10" s="45">
        <f>ROUND('Կենցաղային սարքեր'!J14,-1)</f>
        <v>0</v>
      </c>
      <c r="D10" s="46" t="str">
        <f>'Կենցաղային սարքեր'!K14</f>
        <v>-</v>
      </c>
      <c r="E10" s="45">
        <f>ROUND('Կենցաղային սարքեր'!L14,-1)</f>
        <v>0</v>
      </c>
      <c r="F10" s="45">
        <f>ROUND('Կենցաղային սարքեր'!M14,-1)</f>
        <v>0</v>
      </c>
    </row>
    <row r="11" spans="1:7">
      <c r="A11" s="149"/>
      <c r="B11" s="150" t="s">
        <v>95</v>
      </c>
      <c r="C11" s="45">
        <f>ROUND('Կենցաղային սարքեր'!J22,-1)</f>
        <v>0</v>
      </c>
      <c r="D11" s="46" t="str">
        <f>'Կենցաղային սարքեր'!K22</f>
        <v>-</v>
      </c>
      <c r="E11" s="45">
        <f>ROUND('Կենցաղային սարքեր'!L22,-1)</f>
        <v>0</v>
      </c>
      <c r="F11" s="45">
        <f>ROUND('Կենցաղային սարքեր'!M22,-1)</f>
        <v>0</v>
      </c>
    </row>
    <row r="12" spans="1:7">
      <c r="A12" s="149"/>
      <c r="B12" s="150" t="s">
        <v>121</v>
      </c>
      <c r="C12" s="45">
        <f>ROUND('Կենցաղային սարքեր'!J30,-1)</f>
        <v>0</v>
      </c>
      <c r="D12" s="46" t="str">
        <f>'Կենցաղային սարքեր'!K30</f>
        <v>-</v>
      </c>
      <c r="E12" s="45">
        <f>ROUND('Կենցաղային սարքեր'!L30,-1)</f>
        <v>0</v>
      </c>
      <c r="F12" s="45">
        <f>'Կենցաղային սարքեր'!M30</f>
        <v>0</v>
      </c>
    </row>
    <row r="13" spans="1:7">
      <c r="A13" s="151" t="s">
        <v>122</v>
      </c>
      <c r="B13" s="152" t="s">
        <v>101</v>
      </c>
      <c r="C13" s="47">
        <f>ROUND(Լուսավորություն!J5,-1)</f>
        <v>0</v>
      </c>
      <c r="D13" s="47">
        <f>Լուսավորություն!K5</f>
        <v>0</v>
      </c>
      <c r="E13" s="47">
        <f>ROUND(Լուսավորություն!L5,-1)</f>
        <v>0</v>
      </c>
      <c r="F13" s="47">
        <f>ROUND(Լուսավորություն!M5,-1)</f>
        <v>0</v>
      </c>
    </row>
    <row r="14" spans="1:7">
      <c r="A14" s="142" t="s">
        <v>54</v>
      </c>
      <c r="B14" s="1"/>
      <c r="C14" s="48">
        <f>ROUND(SUM(C2:C13),-1)</f>
        <v>0</v>
      </c>
      <c r="D14" s="48">
        <f>ROUND(SUM(D2:D13),-1)</f>
        <v>0</v>
      </c>
      <c r="E14" s="48">
        <f>ROUND(SUM(E2:E13),-1)</f>
        <v>0</v>
      </c>
      <c r="F14" s="48">
        <f>ROUND(SUM(F2:F13),-1)</f>
        <v>0</v>
      </c>
    </row>
  </sheetData>
  <sheetProtection algorithmName="SHA-512" hashValue="bhITmNZThpLhtjYZhR9d/Re80HAJAOqP9ltqK4vvP6LuE+/eUD8R3KTB04ysqlgIS0WRCQjOuj4cdtYzRHw6Dg==" saltValue="JS3apNh424+O+gGmK/4lPQ==" spinCount="100000" sheet="1" objects="1" scenarios="1" formatCells="0" formatColumn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98A77"/>
  </sheetPr>
  <dimension ref="A2:T13"/>
  <sheetViews>
    <sheetView workbookViewId="0">
      <selection activeCell="C3" sqref="C3"/>
    </sheetView>
  </sheetViews>
  <sheetFormatPr defaultColWidth="11.42578125" defaultRowHeight="15"/>
  <cols>
    <col min="1" max="1" width="62.42578125" bestFit="1" customWidth="1"/>
    <col min="5" max="5" width="20.42578125" customWidth="1"/>
    <col min="6" max="7" width="11.42578125" customWidth="1"/>
    <col min="8" max="8" width="18.5703125" customWidth="1"/>
    <col min="9" max="9" width="19.5703125" customWidth="1"/>
    <col min="20" max="20" width="0" hidden="1" customWidth="1"/>
  </cols>
  <sheetData>
    <row r="2" spans="1:20" ht="30">
      <c r="A2" s="3" t="s">
        <v>128</v>
      </c>
      <c r="E2" s="4" t="s">
        <v>144</v>
      </c>
      <c r="H2" s="4" t="s">
        <v>145</v>
      </c>
    </row>
    <row r="3" spans="1:20">
      <c r="A3" s="153" t="s">
        <v>143</v>
      </c>
      <c r="B3" s="1" t="s">
        <v>142</v>
      </c>
      <c r="C3" s="165">
        <v>100</v>
      </c>
      <c r="D3" s="2"/>
      <c r="E3" s="6">
        <f>Մուտքային!B12</f>
        <v>0</v>
      </c>
      <c r="H3" s="5">
        <f>IF(E3&gt;0,E3,C3)</f>
        <v>100</v>
      </c>
      <c r="T3" t="s">
        <v>39</v>
      </c>
    </row>
    <row r="4" spans="1:20">
      <c r="A4" s="153" t="s">
        <v>132</v>
      </c>
      <c r="B4" s="1" t="s">
        <v>3</v>
      </c>
      <c r="C4" s="5">
        <v>100</v>
      </c>
      <c r="D4" s="2"/>
      <c r="E4" s="6">
        <f>C4</f>
        <v>100</v>
      </c>
      <c r="H4" s="5">
        <f>IF(E4&gt;0,E4,C4)</f>
        <v>100</v>
      </c>
      <c r="T4" t="s">
        <v>42</v>
      </c>
    </row>
    <row r="5" spans="1:20">
      <c r="A5" s="153" t="s">
        <v>133</v>
      </c>
      <c r="B5" s="1" t="s">
        <v>3</v>
      </c>
      <c r="C5" s="5">
        <v>50</v>
      </c>
      <c r="D5" s="2"/>
      <c r="E5" s="6">
        <f>C5</f>
        <v>50</v>
      </c>
      <c r="H5" s="5">
        <f t="shared" ref="H5" si="0">IF(E5&gt;0,E5,C5)</f>
        <v>50</v>
      </c>
    </row>
    <row r="6" spans="1:20">
      <c r="A6" s="153" t="s">
        <v>134</v>
      </c>
      <c r="B6" s="1" t="s">
        <v>4</v>
      </c>
      <c r="C6" s="5">
        <f>C3*C4</f>
        <v>10000</v>
      </c>
      <c r="D6" s="7"/>
      <c r="E6" s="5">
        <f>E3*E4</f>
        <v>0</v>
      </c>
      <c r="H6" s="5">
        <f>H3*H4</f>
        <v>10000</v>
      </c>
      <c r="I6" s="8" t="s">
        <v>146</v>
      </c>
    </row>
    <row r="7" spans="1:20">
      <c r="A7" s="153" t="s">
        <v>135</v>
      </c>
      <c r="B7" s="1" t="s">
        <v>4</v>
      </c>
      <c r="C7" s="5">
        <v>3000</v>
      </c>
      <c r="D7" s="2"/>
      <c r="E7" s="6">
        <f>C7</f>
        <v>3000</v>
      </c>
      <c r="H7" s="5">
        <f>IF(E7&gt;0,E7,C7)</f>
        <v>3000</v>
      </c>
    </row>
    <row r="8" spans="1:20">
      <c r="A8" s="153" t="s">
        <v>136</v>
      </c>
      <c r="B8" s="1" t="s">
        <v>5</v>
      </c>
      <c r="C8" s="9">
        <v>0.1</v>
      </c>
      <c r="D8" s="2"/>
      <c r="E8" s="118">
        <f>C8</f>
        <v>0.1</v>
      </c>
      <c r="H8" s="9">
        <f t="shared" ref="H8:H11" si="1">IF(E8&gt;0,E8,C8)</f>
        <v>0.1</v>
      </c>
    </row>
    <row r="9" spans="1:20">
      <c r="A9" s="153" t="s">
        <v>137</v>
      </c>
      <c r="B9" s="1" t="s">
        <v>4</v>
      </c>
      <c r="C9" s="5">
        <f>C7*C8</f>
        <v>300</v>
      </c>
      <c r="D9" s="7"/>
      <c r="E9" s="5">
        <f>E7*E8</f>
        <v>300</v>
      </c>
      <c r="H9" s="5">
        <f>IF(E9&gt;0,E9,C9)</f>
        <v>300</v>
      </c>
    </row>
    <row r="10" spans="1:20">
      <c r="A10" s="153" t="s">
        <v>138</v>
      </c>
      <c r="B10" s="100" t="s">
        <v>6</v>
      </c>
      <c r="C10" s="101" t="s">
        <v>39</v>
      </c>
      <c r="D10" s="2"/>
      <c r="E10" s="102" t="s">
        <v>39</v>
      </c>
      <c r="H10" s="102" t="str">
        <f t="shared" si="1"/>
        <v>gas</v>
      </c>
    </row>
    <row r="11" spans="1:20">
      <c r="A11" s="153" t="s">
        <v>139</v>
      </c>
      <c r="B11" s="1" t="s">
        <v>5</v>
      </c>
      <c r="C11" s="5">
        <v>70</v>
      </c>
      <c r="D11" s="2"/>
      <c r="E11" s="6">
        <f>C11</f>
        <v>70</v>
      </c>
      <c r="H11" s="5">
        <f t="shared" si="1"/>
        <v>70</v>
      </c>
    </row>
    <row r="12" spans="1:20">
      <c r="A12" s="153" t="s">
        <v>140</v>
      </c>
      <c r="B12" s="1" t="s">
        <v>4</v>
      </c>
      <c r="C12" s="5">
        <f>C6/C11*100</f>
        <v>14285.714285714286</v>
      </c>
      <c r="D12" s="7"/>
      <c r="E12" s="5">
        <f t="shared" ref="E12" si="2">E6/E11*100</f>
        <v>0</v>
      </c>
      <c r="H12" s="5">
        <f>H6/H11*100</f>
        <v>14285.714285714286</v>
      </c>
    </row>
    <row r="13" spans="1:20">
      <c r="A13" s="153" t="s">
        <v>141</v>
      </c>
      <c r="B13" s="1" t="s">
        <v>7</v>
      </c>
      <c r="C13" s="10">
        <v>18</v>
      </c>
      <c r="E13" s="6">
        <f>C13</f>
        <v>18</v>
      </c>
      <c r="H13" s="11">
        <f>IF(E13&gt;0,E13,C13)</f>
        <v>18</v>
      </c>
    </row>
  </sheetData>
  <sheetProtection algorithmName="SHA-512" hashValue="8SndynSRmiNGHlo4OWkxuc6ZCXUiW6Q8MTqbGqAG/fv44q0XdhTF16ePBG04W4q98A3hclVo0vTLcUeQHd+Oiw==" saltValue="l1kWkAt08Dtey+5u3Ov8tw==" spinCount="100000" sheet="1" objects="1" scenarios="1" formatCells="0" formatColumns="0"/>
  <dataValidations count="1">
    <dataValidation type="list" allowBlank="1" showInputMessage="1" showErrorMessage="1" sqref="E10">
      <formula1>$T$3:$T$4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N13"/>
  <sheetViews>
    <sheetView workbookViewId="0">
      <selection activeCell="C3" sqref="C3"/>
    </sheetView>
  </sheetViews>
  <sheetFormatPr defaultColWidth="11.42578125" defaultRowHeight="15"/>
  <cols>
    <col min="1" max="1" width="29.85546875" customWidth="1"/>
    <col min="5" max="5" width="13.140625" customWidth="1"/>
    <col min="6" max="7" width="11.42578125" customWidth="1"/>
    <col min="8" max="8" width="12.7109375" customWidth="1"/>
    <col min="10" max="10" width="21.42578125" customWidth="1"/>
    <col min="11" max="11" width="23" customWidth="1"/>
    <col min="12" max="12" width="20.7109375" customWidth="1"/>
  </cols>
  <sheetData>
    <row r="1" spans="1:14">
      <c r="A1" s="3" t="s">
        <v>116</v>
      </c>
    </row>
    <row r="2" spans="1:14">
      <c r="A2" s="12" t="s">
        <v>147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ht="75">
      <c r="A3" s="3" t="s">
        <v>148</v>
      </c>
      <c r="E3" s="4" t="s">
        <v>144</v>
      </c>
      <c r="H3" s="4" t="s">
        <v>145</v>
      </c>
      <c r="J3" s="14" t="s">
        <v>124</v>
      </c>
      <c r="K3" s="14" t="s">
        <v>125</v>
      </c>
      <c r="L3" s="14" t="s">
        <v>126</v>
      </c>
      <c r="M3" s="14" t="s">
        <v>127</v>
      </c>
    </row>
    <row r="4" spans="1:14">
      <c r="A4" s="154" t="s">
        <v>149</v>
      </c>
      <c r="B4" s="1" t="s">
        <v>8</v>
      </c>
      <c r="C4" s="75">
        <f>'Ելակետային ընդհանուր տվյալներ'!C6</f>
        <v>10000</v>
      </c>
      <c r="E4" s="15">
        <f>IF(Մուտքային!B19="&gt;90%",'Ելակետային ընդհանուր տվյալներ'!H6,0)</f>
        <v>0</v>
      </c>
      <c r="H4" s="75">
        <f>IF(E4&gt;0,E4,0)</f>
        <v>0</v>
      </c>
    </row>
    <row r="5" spans="1:14">
      <c r="A5" s="154" t="s">
        <v>150</v>
      </c>
      <c r="B5" s="1" t="s">
        <v>5</v>
      </c>
      <c r="C5" s="1">
        <v>90</v>
      </c>
      <c r="E5" s="16">
        <v>0</v>
      </c>
      <c r="H5" s="5">
        <f>IF(E5&gt;0,E5,C5)</f>
        <v>90</v>
      </c>
    </row>
    <row r="6" spans="1:14" ht="30">
      <c r="A6" s="154" t="s">
        <v>151</v>
      </c>
      <c r="B6" s="1" t="s">
        <v>8</v>
      </c>
      <c r="C6" s="5">
        <f>C4/C5%</f>
        <v>11111.111111111111</v>
      </c>
      <c r="E6" s="17" t="e">
        <f>E4/E5%</f>
        <v>#DIV/0!</v>
      </c>
      <c r="H6" s="5">
        <f>H4/H5%</f>
        <v>0</v>
      </c>
      <c r="J6" s="75">
        <v>0</v>
      </c>
      <c r="K6" s="93">
        <f>IF(H4&gt;0,'Ելակետային ընդհանուր տվյալներ'!H12-H6,0)</f>
        <v>0</v>
      </c>
      <c r="L6" s="94">
        <f>K6*'Փոխարկման ֆակտորներ'!B2</f>
        <v>0</v>
      </c>
      <c r="M6" s="94">
        <f>K6*'Փոխարկման ֆակտորներ'!B9</f>
        <v>0</v>
      </c>
    </row>
    <row r="8" spans="1:14">
      <c r="A8" s="12" t="s">
        <v>152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4" ht="75">
      <c r="A9" s="3" t="s">
        <v>148</v>
      </c>
      <c r="E9" s="4" t="s">
        <v>144</v>
      </c>
      <c r="H9" s="4" t="s">
        <v>145</v>
      </c>
      <c r="J9" s="14" t="s">
        <v>124</v>
      </c>
      <c r="K9" s="14" t="s">
        <v>125</v>
      </c>
      <c r="L9" s="14" t="s">
        <v>126</v>
      </c>
      <c r="M9" s="14" t="s">
        <v>127</v>
      </c>
    </row>
    <row r="10" spans="1:14">
      <c r="A10" t="s">
        <v>153</v>
      </c>
      <c r="B10" s="1" t="s">
        <v>8</v>
      </c>
      <c r="C10" s="42">
        <f>'Ելակետային ընդհանուր տվյալներ'!C6</f>
        <v>10000</v>
      </c>
      <c r="E10" s="18">
        <f>IF(Մուտքային!B21&gt;0,'Ելակետային ընդհանուր տվյալներ'!H6,0)</f>
        <v>0</v>
      </c>
      <c r="H10" s="42">
        <f>IF(E10&gt;0,E10,0)</f>
        <v>0</v>
      </c>
    </row>
    <row r="11" spans="1:14">
      <c r="A11" t="s">
        <v>40</v>
      </c>
      <c r="B11" s="19" t="s">
        <v>6</v>
      </c>
      <c r="C11" s="1">
        <f>IF(Մուտքային!A21&lt;&gt;"",3.5,0)</f>
        <v>3.5</v>
      </c>
      <c r="E11" s="95">
        <f>Մուտքային!B21</f>
        <v>0</v>
      </c>
      <c r="H11" s="1">
        <f>IF(E11&gt;0,E11,C11)</f>
        <v>3.5</v>
      </c>
    </row>
    <row r="12" spans="1:14">
      <c r="A12" t="s">
        <v>154</v>
      </c>
      <c r="B12" s="1" t="s">
        <v>8</v>
      </c>
      <c r="C12" s="20">
        <f>C10/C11</f>
        <v>2857.1428571428573</v>
      </c>
      <c r="E12" s="1" t="e">
        <f>E10/E11</f>
        <v>#DIV/0!</v>
      </c>
      <c r="H12" s="1">
        <f>H10/H11</f>
        <v>0</v>
      </c>
      <c r="J12" s="75">
        <f>0-H12</f>
        <v>0</v>
      </c>
      <c r="K12" s="93">
        <f>IF(H10&gt;0,'Ելակետային ընդհանուր տվյալներ'!H12,0)</f>
        <v>0</v>
      </c>
      <c r="L12" s="94">
        <f>(K12*'Փոխարկման ֆակտորներ'!B2)-('Փոխարկման ֆակտորներ'!B3*'Ջեռուցման համակարգ'!H12)</f>
        <v>0</v>
      </c>
      <c r="M12" s="94">
        <f>K12*'Փոխարկման ֆակտորներ'!B15-(H12*'Փոխարկման ֆակտորներ'!B10)</f>
        <v>0</v>
      </c>
      <c r="N12" s="21" t="s">
        <v>161</v>
      </c>
    </row>
    <row r="13" spans="1:14">
      <c r="N13" s="21" t="s">
        <v>162</v>
      </c>
    </row>
  </sheetData>
  <sheetProtection algorithmName="SHA-512" hashValue="RQjioLg49TI8rCJBWww7SIuKRacHXI/yplTiOaNVb6BQ+vtUoOPc5LShCPZmZ7RXXy+CDRKuRPrBpnZGMJ4XiQ==" saltValue="j/mBpuzfDrt7CblgndQPSw==" spinCount="100000" sheet="1" objects="1" scenarios="1" formatCells="0" formatColumns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T16"/>
  <sheetViews>
    <sheetView workbookViewId="0">
      <selection activeCell="C3" sqref="C3"/>
    </sheetView>
  </sheetViews>
  <sheetFormatPr defaultColWidth="11.42578125" defaultRowHeight="15"/>
  <cols>
    <col min="1" max="1" width="20.28515625" customWidth="1"/>
    <col min="5" max="5" width="13.42578125" customWidth="1"/>
    <col min="8" max="8" width="13.28515625" customWidth="1"/>
    <col min="10" max="10" width="14.42578125" customWidth="1"/>
    <col min="11" max="11" width="18.5703125" customWidth="1"/>
    <col min="12" max="12" width="14" customWidth="1"/>
  </cols>
  <sheetData>
    <row r="1" spans="1:20">
      <c r="A1" s="22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3" spans="1:20" ht="75">
      <c r="A3" s="3" t="s">
        <v>148</v>
      </c>
      <c r="E3" s="4" t="s">
        <v>144</v>
      </c>
      <c r="H3" s="4" t="s">
        <v>145</v>
      </c>
      <c r="J3" s="14" t="s">
        <v>124</v>
      </c>
      <c r="K3" s="14" t="s">
        <v>125</v>
      </c>
      <c r="L3" s="14" t="s">
        <v>126</v>
      </c>
      <c r="M3" s="14" t="s">
        <v>127</v>
      </c>
    </row>
    <row r="4" spans="1:20">
      <c r="A4" t="s">
        <v>155</v>
      </c>
      <c r="B4" s="1" t="s">
        <v>142</v>
      </c>
      <c r="C4" s="1">
        <f>IF(Մուտքային!B34&gt;0,Մուտքային!B34,0)</f>
        <v>0</v>
      </c>
      <c r="E4" s="16">
        <f>IF(Մուտքային!B34&gt;0,Մուտքային!B34,0)</f>
        <v>0</v>
      </c>
      <c r="H4" s="1">
        <f>IF(E4&gt;0,E4,C4)</f>
        <v>0</v>
      </c>
    </row>
    <row r="5" spans="1:20">
      <c r="A5" t="s">
        <v>37</v>
      </c>
      <c r="B5" s="1" t="s">
        <v>8</v>
      </c>
      <c r="C5" s="1">
        <f>900</f>
        <v>900</v>
      </c>
      <c r="E5" s="16"/>
      <c r="H5" s="1">
        <f>IF(E5&gt;0,E5,C5)</f>
        <v>900</v>
      </c>
    </row>
    <row r="6" spans="1:20">
      <c r="A6" t="s">
        <v>38</v>
      </c>
      <c r="B6" s="1" t="s">
        <v>8</v>
      </c>
      <c r="C6" s="1">
        <f>C4*C5</f>
        <v>0</v>
      </c>
      <c r="E6" s="1">
        <f>E4*E5</f>
        <v>0</v>
      </c>
      <c r="H6" s="1">
        <f>H4*H5</f>
        <v>0</v>
      </c>
      <c r="J6" s="5">
        <v>0</v>
      </c>
      <c r="K6" s="24">
        <f>H6/'Ելակետային ընդհանուր տվյալներ'!H11%</f>
        <v>0</v>
      </c>
      <c r="L6" s="5">
        <f>K6*'Փոխարկման ֆակտորներ'!B2</f>
        <v>0</v>
      </c>
      <c r="M6" s="5">
        <f>K6*'Փոխարկման ֆակտորներ'!B9</f>
        <v>0</v>
      </c>
      <c r="N6" s="21" t="s">
        <v>156</v>
      </c>
    </row>
    <row r="7" spans="1:20">
      <c r="N7" s="21" t="s">
        <v>157</v>
      </c>
      <c r="O7" s="21"/>
      <c r="P7" s="21"/>
      <c r="Q7" s="21"/>
      <c r="R7" s="21"/>
      <c r="S7" s="21"/>
      <c r="T7" s="21"/>
    </row>
    <row r="8" spans="1:20">
      <c r="N8" s="21" t="s">
        <v>158</v>
      </c>
    </row>
    <row r="9" spans="1:20">
      <c r="A9" s="22" t="s">
        <v>159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1" spans="1:20" ht="75">
      <c r="A11" s="3" t="s">
        <v>148</v>
      </c>
      <c r="E11" s="4" t="s">
        <v>144</v>
      </c>
      <c r="H11" s="4" t="s">
        <v>145</v>
      </c>
      <c r="J11" s="14" t="s">
        <v>124</v>
      </c>
      <c r="K11" s="14" t="s">
        <v>125</v>
      </c>
      <c r="L11" s="14" t="s">
        <v>126</v>
      </c>
      <c r="M11" s="14" t="s">
        <v>127</v>
      </c>
    </row>
    <row r="12" spans="1:20">
      <c r="A12" t="s">
        <v>155</v>
      </c>
      <c r="B12" s="1" t="s">
        <v>10</v>
      </c>
      <c r="C12" s="1">
        <v>5</v>
      </c>
      <c r="E12" s="16">
        <f>IF(Մուտքային!B37&gt;0,Մուտքային!B37,0)</f>
        <v>0</v>
      </c>
      <c r="H12" s="1">
        <f>IF(E12&gt;0,E12,0)</f>
        <v>0</v>
      </c>
    </row>
    <row r="13" spans="1:20">
      <c r="A13" t="s">
        <v>37</v>
      </c>
      <c r="B13" s="1" t="s">
        <v>8</v>
      </c>
      <c r="C13" s="1">
        <v>1200</v>
      </c>
      <c r="E13" s="16"/>
      <c r="F13" s="8" t="s">
        <v>11</v>
      </c>
      <c r="H13" s="1">
        <f>IF(E13&gt;0,E13,C13)</f>
        <v>1200</v>
      </c>
    </row>
    <row r="14" spans="1:20">
      <c r="A14" t="s">
        <v>38</v>
      </c>
      <c r="B14" s="1" t="s">
        <v>8</v>
      </c>
      <c r="C14" s="1">
        <f>C12*C13</f>
        <v>6000</v>
      </c>
      <c r="E14" s="1">
        <f>E12*E13</f>
        <v>0</v>
      </c>
      <c r="H14" s="1">
        <f>H12*H13</f>
        <v>0</v>
      </c>
      <c r="J14" s="24">
        <f>H14</f>
        <v>0</v>
      </c>
      <c r="K14" s="5">
        <v>0</v>
      </c>
      <c r="L14" s="5">
        <f>J14*'Փոխարկման ֆակտորներ'!B4</f>
        <v>0</v>
      </c>
      <c r="M14" s="5">
        <f>J14*'Փոխարկման ֆակտորներ'!B10</f>
        <v>0</v>
      </c>
      <c r="N14" s="21" t="s">
        <v>160</v>
      </c>
    </row>
    <row r="15" spans="1:20">
      <c r="N15" s="21" t="s">
        <v>157</v>
      </c>
      <c r="O15" s="21"/>
      <c r="P15" s="21"/>
      <c r="Q15" s="21"/>
      <c r="R15" s="21"/>
      <c r="S15" s="21"/>
      <c r="T15" s="21"/>
    </row>
    <row r="16" spans="1:20">
      <c r="N16" s="21" t="s">
        <v>158</v>
      </c>
    </row>
  </sheetData>
  <sheetProtection algorithmName="SHA-512" hashValue="pOdKh/Ep2Cvd0vfodx4HwFoRciFudft0IgBfUM9hqgWDr2nhT58M13exdRvl3DhpM4in8/wSisUBhbyULWD0+g==" saltValue="F9rlzpGZ95fPfmjbOm6w9Q==" spinCount="100000" sheet="1" objects="1" scenarios="1" formatCells="0" formatColumns="0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O21"/>
  <sheetViews>
    <sheetView workbookViewId="0">
      <selection activeCell="C3" sqref="C3"/>
    </sheetView>
  </sheetViews>
  <sheetFormatPr defaultColWidth="11.42578125" defaultRowHeight="15"/>
  <cols>
    <col min="1" max="1" width="34.140625" bestFit="1" customWidth="1"/>
    <col min="5" max="5" width="12.140625" customWidth="1"/>
    <col min="10" max="10" width="16.7109375" customWidth="1"/>
    <col min="11" max="11" width="19.140625" customWidth="1"/>
    <col min="12" max="12" width="13.5703125" customWidth="1"/>
  </cols>
  <sheetData>
    <row r="1" spans="1:15">
      <c r="A1" s="25" t="s">
        <v>119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5" ht="75">
      <c r="A3" s="3" t="s">
        <v>148</v>
      </c>
      <c r="E3" s="4" t="s">
        <v>144</v>
      </c>
      <c r="H3" s="4" t="s">
        <v>145</v>
      </c>
      <c r="J3" s="14" t="s">
        <v>124</v>
      </c>
      <c r="K3" s="14" t="s">
        <v>125</v>
      </c>
      <c r="L3" s="14" t="s">
        <v>126</v>
      </c>
      <c r="M3" s="14" t="s">
        <v>127</v>
      </c>
    </row>
    <row r="4" spans="1:15">
      <c r="A4" t="s">
        <v>163</v>
      </c>
      <c r="B4" s="1" t="s">
        <v>142</v>
      </c>
      <c r="C4" s="27">
        <f>'Ելակետային ընդհանուր տվյալներ'!C3</f>
        <v>100</v>
      </c>
      <c r="E4" s="27">
        <f>IF(OR(Մուտքային!B51="Պատեր",Մուտքային!B52="Պատեր",Մուտքային!B53="Պատեր",Մուտքային!B54="Պատեր",Մուտքային!B55="Պատեր",Մուտքային!B56="Պատեր",Մուտքային!B57="Պատեր",Մուտքային!B51="Պատեր և առաստաղ",Մուտքային!B52="Պատեր և առաստաղ",Մուտքային!B53="Պատեր և առաստաղ",Մուտքային!B54="Պատեր և առաստաղ",Մուտքային!B55="Պատեր և առաստաղ",Մուտքային!B56="Պատեր և առաստաղ",Մուտքային!B57="Պատեր և առաստաղ"),'Ելակետային ընդհանուր տվյալներ'!C3,0)</f>
        <v>0</v>
      </c>
      <c r="H4" s="1">
        <f>IF(E4&gt;0,E4,0)</f>
        <v>0</v>
      </c>
    </row>
    <row r="5" spans="1:15">
      <c r="A5" t="s">
        <v>164</v>
      </c>
      <c r="B5" s="1" t="s">
        <v>3</v>
      </c>
      <c r="C5" s="1">
        <f>'Ելակետային ընդհանուր տվյալներ'!H4</f>
        <v>100</v>
      </c>
      <c r="E5" s="16"/>
      <c r="H5" s="1">
        <f>IF(E5&gt;0,E5,C5)</f>
        <v>100</v>
      </c>
    </row>
    <row r="6" spans="1:15">
      <c r="A6" t="s">
        <v>165</v>
      </c>
      <c r="B6" s="1" t="s">
        <v>4</v>
      </c>
      <c r="C6" s="1">
        <f>C4*C5</f>
        <v>10000</v>
      </c>
      <c r="E6" s="16">
        <f>E4*E5</f>
        <v>0</v>
      </c>
      <c r="H6" s="1">
        <f>IF(Մուտքային!D58&gt;0,H4*H5,0)</f>
        <v>0</v>
      </c>
      <c r="J6" s="5">
        <v>0</v>
      </c>
      <c r="K6" s="76">
        <f>H6*35%</f>
        <v>0</v>
      </c>
      <c r="L6" s="76">
        <f>K6*'Փոխարկման ֆակտորներ'!B2</f>
        <v>0</v>
      </c>
      <c r="M6" s="76">
        <f>K6*'Փոխարկման ֆակտորներ'!B9</f>
        <v>0</v>
      </c>
      <c r="N6" s="21" t="s">
        <v>166</v>
      </c>
    </row>
    <row r="8" spans="1:15">
      <c r="A8" s="25" t="s">
        <v>167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10" spans="1:15" ht="75">
      <c r="A10" s="3" t="s">
        <v>148</v>
      </c>
      <c r="E10" s="4" t="s">
        <v>144</v>
      </c>
      <c r="H10" s="4" t="s">
        <v>145</v>
      </c>
      <c r="J10" s="14" t="s">
        <v>124</v>
      </c>
      <c r="K10" s="14" t="s">
        <v>125</v>
      </c>
      <c r="L10" s="14" t="s">
        <v>126</v>
      </c>
      <c r="M10" s="14" t="s">
        <v>127</v>
      </c>
    </row>
    <row r="11" spans="1:15">
      <c r="A11" t="s">
        <v>163</v>
      </c>
      <c r="B11" s="1" t="s">
        <v>142</v>
      </c>
      <c r="C11" s="27">
        <f>'Ելակետային ընդհանուր տվյալներ'!C3</f>
        <v>100</v>
      </c>
      <c r="E11" s="16">
        <f>IF(OR(Մուտքային!B51="Առաստաղ",Մուտքային!B52="Առաստաղ",Մուտքային!B53="Առաստաղ",Մուտքային!B54="Առաստաղ",Մուտքային!B55="Առաստաղ",Մուտքային!B56="Առաստաղ",Մուտքային!B57="Առաստաղ",Մուտքային!B51="Պատեր և առաստաղ",Մուտքային!B52="Պատեր և առաստաղ",Մուտքային!B53="Պատեր և առաստաղ",Մուտքային!B54="Պատեր և առաստաղ",Մուտքային!B55="Պատեր և առաստաղ",Մուտքային!B56="Պատեր և առաստաղ",Մուտքային!B57="Պատեր և առաստաղ"),'Ելակետային ընդհանուր տվյալներ'!C3,0)</f>
        <v>0</v>
      </c>
      <c r="H11" s="1">
        <f>IF(E11&gt;0,E11,0)</f>
        <v>0</v>
      </c>
    </row>
    <row r="12" spans="1:15">
      <c r="A12" t="s">
        <v>164</v>
      </c>
      <c r="B12" s="1" t="s">
        <v>3</v>
      </c>
      <c r="C12" s="1">
        <f>'Ելակետային ընդհանուր տվյալներ'!H4</f>
        <v>100</v>
      </c>
      <c r="E12" s="16"/>
      <c r="H12" s="1">
        <f>IF(E12&gt;0,E12,C12)</f>
        <v>100</v>
      </c>
    </row>
    <row r="13" spans="1:15">
      <c r="A13" t="s">
        <v>165</v>
      </c>
      <c r="B13" s="1" t="s">
        <v>4</v>
      </c>
      <c r="C13" s="1">
        <f>C11*C12</f>
        <v>10000</v>
      </c>
      <c r="E13" s="16">
        <f>E11*E12</f>
        <v>0</v>
      </c>
      <c r="H13" s="1">
        <f>IF(Մուտքային!D58&gt;0,H11*H12,0)</f>
        <v>0</v>
      </c>
      <c r="J13" s="5">
        <v>0</v>
      </c>
      <c r="K13" s="5">
        <f>H13*25%</f>
        <v>0</v>
      </c>
      <c r="L13" s="5">
        <f>K13*'Փոխարկման ֆակտորներ'!B2</f>
        <v>0</v>
      </c>
      <c r="M13" s="5">
        <f>K13*'Փոխարկման ֆակտորներ'!B9</f>
        <v>0</v>
      </c>
      <c r="N13" s="21" t="s">
        <v>168</v>
      </c>
    </row>
    <row r="14" spans="1:15">
      <c r="B14" s="2"/>
      <c r="C14" s="2"/>
      <c r="E14" s="28"/>
      <c r="H14" s="2"/>
      <c r="J14" s="7"/>
      <c r="K14" s="7"/>
      <c r="L14" s="7"/>
      <c r="M14" s="7"/>
      <c r="N14" s="21"/>
    </row>
    <row r="16" spans="1:15">
      <c r="A16" s="25" t="s">
        <v>89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8" spans="1:14" ht="75">
      <c r="A18" s="3" t="s">
        <v>148</v>
      </c>
      <c r="E18" s="4" t="s">
        <v>144</v>
      </c>
      <c r="H18" s="4" t="s">
        <v>145</v>
      </c>
      <c r="J18" s="14" t="s">
        <v>124</v>
      </c>
      <c r="K18" s="14" t="s">
        <v>125</v>
      </c>
      <c r="L18" s="14" t="s">
        <v>126</v>
      </c>
      <c r="M18" s="14" t="s">
        <v>127</v>
      </c>
    </row>
    <row r="19" spans="1:14">
      <c r="A19" t="s">
        <v>163</v>
      </c>
      <c r="B19" s="1" t="s">
        <v>142</v>
      </c>
      <c r="C19" s="1">
        <f>IF(Մուտքային!B70="&lt;2.5",'Ելակետային ընդհանուր տվյալներ'!C3,0)</f>
        <v>0</v>
      </c>
      <c r="E19" s="16">
        <f>IF(Մուտքային!B70="&lt;2.5",'Ելակետային ընդհանուր տվյալներ'!E3,0)</f>
        <v>0</v>
      </c>
      <c r="H19" s="1">
        <f>IF(E19&gt;0,E19,C19)</f>
        <v>0</v>
      </c>
    </row>
    <row r="20" spans="1:14">
      <c r="A20" t="s">
        <v>164</v>
      </c>
      <c r="B20" s="1" t="s">
        <v>4</v>
      </c>
      <c r="C20" s="1">
        <f>'Ելակետային ընդհանուր տվյալներ'!H4+IF(Մուտքային!E70&gt;50000,'Ելակետային ընդհանուր տվյալներ'!H4,0)</f>
        <v>100</v>
      </c>
      <c r="E20" s="16"/>
      <c r="H20" s="1">
        <f>IF(E20&gt;0,E20,C20)</f>
        <v>100</v>
      </c>
    </row>
    <row r="21" spans="1:14">
      <c r="A21" t="s">
        <v>165</v>
      </c>
      <c r="B21" s="1" t="s">
        <v>4</v>
      </c>
      <c r="C21" s="1">
        <f>C19*C20</f>
        <v>0</v>
      </c>
      <c r="E21" s="16">
        <f>E19*E20</f>
        <v>0</v>
      </c>
      <c r="H21" s="1">
        <f>H19*H20</f>
        <v>0</v>
      </c>
      <c r="J21" s="5"/>
      <c r="K21" s="5">
        <f>H21*6%</f>
        <v>0</v>
      </c>
      <c r="L21" s="5">
        <f>K21*'Փոխարկման ֆակտորներ'!B2</f>
        <v>0</v>
      </c>
      <c r="M21" s="5">
        <f>K21*'Փոխարկման ֆակտորներ'!B9</f>
        <v>0</v>
      </c>
      <c r="N21" s="21" t="s">
        <v>169</v>
      </c>
    </row>
  </sheetData>
  <sheetProtection algorithmName="SHA-512" hashValue="zxzoU6vEZC0/ZrbBm7i5XolB7U1C4KoIDXqYro5Tl5yyzKs0DVqw6+ak7tJuGnOod3X7ZJDzqU4yzoHoHRijzA==" saltValue="yUviYkUyxscVgNRuuk7dbA==" spinCount="100000" sheet="1" objects="1" scenarios="1" formatCells="0" formatColumns="0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34998626667073579"/>
  </sheetPr>
  <dimension ref="A1:R31"/>
  <sheetViews>
    <sheetView workbookViewId="0">
      <selection activeCell="C3" sqref="C3"/>
    </sheetView>
  </sheetViews>
  <sheetFormatPr defaultColWidth="11.42578125" defaultRowHeight="15"/>
  <cols>
    <col min="1" max="1" width="29" customWidth="1"/>
    <col min="5" max="5" width="12.5703125" customWidth="1"/>
    <col min="10" max="10" width="15.28515625" customWidth="1"/>
    <col min="11" max="11" width="18.28515625" customWidth="1"/>
    <col min="12" max="12" width="14.140625" customWidth="1"/>
    <col min="16" max="16" width="17.5703125" customWidth="1"/>
  </cols>
  <sheetData>
    <row r="1" spans="1:18">
      <c r="A1" s="29" t="s">
        <v>97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>
      <c r="A2" s="28"/>
      <c r="B2" s="28"/>
      <c r="C2" s="28"/>
    </row>
    <row r="3" spans="1:18" ht="75">
      <c r="A3" s="3" t="s">
        <v>148</v>
      </c>
      <c r="E3" s="4" t="s">
        <v>144</v>
      </c>
      <c r="H3" s="4" t="s">
        <v>145</v>
      </c>
      <c r="J3" s="14" t="s">
        <v>124</v>
      </c>
      <c r="K3" s="14" t="s">
        <v>125</v>
      </c>
      <c r="L3" s="14" t="s">
        <v>126</v>
      </c>
      <c r="M3" s="14" t="s">
        <v>127</v>
      </c>
    </row>
    <row r="4" spans="1:18">
      <c r="A4" t="s">
        <v>174</v>
      </c>
      <c r="B4" s="1" t="s">
        <v>6</v>
      </c>
      <c r="C4" s="1">
        <f>IF(Մուտքային!B84="&gt;A+",Մուտքային!C82,0)</f>
        <v>0</v>
      </c>
      <c r="E4" s="33"/>
      <c r="H4" s="1">
        <f>IF(E4&gt;0,E4,C4)</f>
        <v>0</v>
      </c>
      <c r="Q4" t="s">
        <v>12</v>
      </c>
      <c r="R4">
        <v>138</v>
      </c>
    </row>
    <row r="5" spans="1:18" ht="30">
      <c r="A5" s="154" t="s">
        <v>170</v>
      </c>
      <c r="B5" s="1" t="s">
        <v>4</v>
      </c>
      <c r="C5" s="1">
        <f>R7</f>
        <v>440</v>
      </c>
      <c r="E5" s="16">
        <v>500</v>
      </c>
      <c r="H5" s="1">
        <f>IF(E5&gt;0,E5,C5)</f>
        <v>500</v>
      </c>
      <c r="Q5" t="s">
        <v>13</v>
      </c>
      <c r="R5">
        <v>278</v>
      </c>
    </row>
    <row r="6" spans="1:18" ht="30">
      <c r="A6" s="154" t="s">
        <v>171</v>
      </c>
      <c r="B6" s="1" t="s">
        <v>4</v>
      </c>
      <c r="C6" s="1">
        <f>R4</f>
        <v>138</v>
      </c>
      <c r="E6" s="33">
        <v>200</v>
      </c>
      <c r="H6" s="1">
        <f>IF(E6&gt;0,E6,C6)</f>
        <v>200</v>
      </c>
      <c r="J6" s="5">
        <f>(H5-H6)*H4</f>
        <v>0</v>
      </c>
      <c r="K6" s="5" t="s">
        <v>6</v>
      </c>
      <c r="L6" s="5">
        <f>J6*'Փոխարկման ֆակտորներ'!B3</f>
        <v>0</v>
      </c>
      <c r="M6" s="5">
        <f>J6*'Փոխարկման ֆակտորներ'!B10</f>
        <v>0</v>
      </c>
      <c r="N6" s="21" t="s">
        <v>172</v>
      </c>
      <c r="Q6" t="s">
        <v>14</v>
      </c>
      <c r="R6">
        <v>350</v>
      </c>
    </row>
    <row r="7" spans="1:18">
      <c r="N7" s="21" t="s">
        <v>173</v>
      </c>
      <c r="Q7" t="s">
        <v>15</v>
      </c>
      <c r="R7">
        <v>440</v>
      </c>
    </row>
    <row r="9" spans="1:18" s="3" customFormat="1">
      <c r="A9" s="29" t="s">
        <v>16</v>
      </c>
      <c r="B9" s="29"/>
      <c r="C9" s="2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>
      <c r="A10" s="28"/>
      <c r="B10" s="28"/>
      <c r="C10" s="28"/>
      <c r="D10" s="2"/>
    </row>
    <row r="11" spans="1:18" ht="75">
      <c r="A11" s="3" t="s">
        <v>148</v>
      </c>
      <c r="E11" s="4" t="s">
        <v>144</v>
      </c>
      <c r="H11" s="4" t="s">
        <v>145</v>
      </c>
      <c r="J11" s="14" t="s">
        <v>124</v>
      </c>
      <c r="K11" s="14" t="s">
        <v>125</v>
      </c>
      <c r="L11" s="14" t="s">
        <v>126</v>
      </c>
      <c r="M11" s="14" t="s">
        <v>127</v>
      </c>
    </row>
    <row r="12" spans="1:18">
      <c r="A12" t="s">
        <v>174</v>
      </c>
      <c r="B12" s="1" t="s">
        <v>6</v>
      </c>
      <c r="C12" s="1">
        <f>IF(Մուտքային!B83="&gt;A+",Մուտքային!C83,0)</f>
        <v>0</v>
      </c>
      <c r="E12" s="33"/>
      <c r="H12" s="1">
        <f>IF(E12&gt;0,E12,C12)</f>
        <v>0</v>
      </c>
      <c r="Q12" t="s">
        <v>12</v>
      </c>
      <c r="R12">
        <v>150</v>
      </c>
    </row>
    <row r="13" spans="1:18" ht="30">
      <c r="A13" s="154" t="s">
        <v>170</v>
      </c>
      <c r="B13" s="1" t="s">
        <v>3</v>
      </c>
      <c r="C13" s="1">
        <f>R15</f>
        <v>250</v>
      </c>
      <c r="E13" s="16"/>
      <c r="H13" s="1">
        <f>IF(E13&gt;0,E13,C13)</f>
        <v>250</v>
      </c>
      <c r="Q13" t="s">
        <v>13</v>
      </c>
      <c r="R13">
        <v>190</v>
      </c>
    </row>
    <row r="14" spans="1:18" ht="30">
      <c r="A14" s="154" t="s">
        <v>171</v>
      </c>
      <c r="B14" s="1" t="s">
        <v>4</v>
      </c>
      <c r="C14" s="1">
        <f>R12</f>
        <v>150</v>
      </c>
      <c r="E14" s="33">
        <f>E12*E13</f>
        <v>0</v>
      </c>
      <c r="H14" s="1">
        <f>IF(E14&gt;0,E14,C14)</f>
        <v>150</v>
      </c>
      <c r="J14" s="5">
        <f>(H13-H14)*H12</f>
        <v>0</v>
      </c>
      <c r="K14" s="5" t="s">
        <v>6</v>
      </c>
      <c r="L14" s="5">
        <f>J14*'Փոխարկման ֆակտորներ'!B3</f>
        <v>0</v>
      </c>
      <c r="M14" s="5">
        <f>J14*'Փոխարկման ֆակտորներ'!B10</f>
        <v>0</v>
      </c>
      <c r="N14" s="21" t="s">
        <v>172</v>
      </c>
      <c r="Q14" t="s">
        <v>14</v>
      </c>
      <c r="R14">
        <v>220</v>
      </c>
    </row>
    <row r="15" spans="1:18">
      <c r="N15" s="21" t="s">
        <v>173</v>
      </c>
      <c r="Q15" t="s">
        <v>15</v>
      </c>
      <c r="R15">
        <v>250</v>
      </c>
    </row>
    <row r="17" spans="1:18">
      <c r="A17" s="29" t="s">
        <v>175</v>
      </c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>
      <c r="A18" s="28"/>
      <c r="B18" s="28"/>
      <c r="C18" s="28"/>
    </row>
    <row r="19" spans="1:18" ht="75">
      <c r="A19" s="3" t="s">
        <v>148</v>
      </c>
      <c r="E19" s="4" t="s">
        <v>144</v>
      </c>
      <c r="H19" s="4" t="s">
        <v>145</v>
      </c>
      <c r="J19" s="14" t="s">
        <v>124</v>
      </c>
      <c r="K19" s="14" t="s">
        <v>125</v>
      </c>
      <c r="L19" s="14" t="s">
        <v>126</v>
      </c>
      <c r="M19" s="14" t="s">
        <v>127</v>
      </c>
    </row>
    <row r="20" spans="1:18">
      <c r="A20" t="s">
        <v>174</v>
      </c>
      <c r="B20" s="1" t="s">
        <v>6</v>
      </c>
      <c r="C20" s="1">
        <f>IF(Մուտքային!B82="&gt;A+",Մուտքային!C82,0)</f>
        <v>0</v>
      </c>
      <c r="E20" s="32"/>
      <c r="H20" s="1">
        <f>IF(E20&gt;0,E20,C20)</f>
        <v>0</v>
      </c>
      <c r="Q20" t="s">
        <v>12</v>
      </c>
      <c r="R20">
        <v>60</v>
      </c>
    </row>
    <row r="21" spans="1:18" ht="30">
      <c r="A21" s="154" t="s">
        <v>170</v>
      </c>
      <c r="B21" s="1" t="s">
        <v>3</v>
      </c>
      <c r="C21" s="1">
        <f>R23</f>
        <v>270</v>
      </c>
      <c r="E21" s="16"/>
      <c r="H21" s="1">
        <f>IF(E21&gt;0,E21,C21)</f>
        <v>270</v>
      </c>
      <c r="Q21" t="s">
        <v>13</v>
      </c>
      <c r="R21">
        <v>90</v>
      </c>
    </row>
    <row r="22" spans="1:18" ht="30">
      <c r="A22" s="154" t="s">
        <v>171</v>
      </c>
      <c r="B22" s="1" t="s">
        <v>4</v>
      </c>
      <c r="C22" s="1">
        <f>R20</f>
        <v>60</v>
      </c>
      <c r="E22" s="33">
        <f>E20*E21</f>
        <v>0</v>
      </c>
      <c r="H22" s="1">
        <f>IF(E22&gt;0,E22,C22)</f>
        <v>60</v>
      </c>
      <c r="J22" s="5">
        <f>(H21-H22)*H20</f>
        <v>0</v>
      </c>
      <c r="K22" s="5" t="s">
        <v>6</v>
      </c>
      <c r="L22" s="5">
        <f>J22*'Փոխարկման ֆակտորներ'!B3</f>
        <v>0</v>
      </c>
      <c r="M22" s="5">
        <f>J22*'Փոխարկման ֆակտորներ'!B10</f>
        <v>0</v>
      </c>
      <c r="N22" s="21" t="s">
        <v>172</v>
      </c>
      <c r="Q22" t="s">
        <v>14</v>
      </c>
      <c r="R22">
        <v>120</v>
      </c>
    </row>
    <row r="23" spans="1:18">
      <c r="N23" s="21" t="s">
        <v>173</v>
      </c>
      <c r="Q23" t="s">
        <v>15</v>
      </c>
      <c r="R23">
        <v>270</v>
      </c>
    </row>
    <row r="24" spans="1:18">
      <c r="A24" s="35"/>
      <c r="B24" s="35"/>
      <c r="C24" s="35"/>
    </row>
    <row r="25" spans="1:18">
      <c r="A25" s="29" t="s">
        <v>176</v>
      </c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>
      <c r="A26" s="2"/>
      <c r="B26" s="2"/>
      <c r="C26" s="2"/>
    </row>
    <row r="27" spans="1:18" ht="75">
      <c r="A27" s="3" t="s">
        <v>148</v>
      </c>
      <c r="E27" s="4" t="s">
        <v>144</v>
      </c>
      <c r="H27" s="4" t="s">
        <v>145</v>
      </c>
      <c r="J27" s="14" t="s">
        <v>124</v>
      </c>
      <c r="K27" s="14" t="s">
        <v>125</v>
      </c>
      <c r="L27" s="14" t="s">
        <v>126</v>
      </c>
      <c r="M27" s="14" t="s">
        <v>127</v>
      </c>
    </row>
    <row r="28" spans="1:18">
      <c r="A28" t="s">
        <v>174</v>
      </c>
      <c r="B28" s="1" t="s">
        <v>6</v>
      </c>
      <c r="C28" s="1" t="b">
        <f>IF(Մուտքային!B85="&gt;A+",Մուտքային!C85)</f>
        <v>0</v>
      </c>
      <c r="E28" s="32">
        <v>0</v>
      </c>
      <c r="H28" s="1" t="b">
        <f>IF(E28&gt;0,E28,C28)</f>
        <v>0</v>
      </c>
      <c r="Q28" t="s">
        <v>12</v>
      </c>
      <c r="R28">
        <v>190</v>
      </c>
    </row>
    <row r="29" spans="1:18" ht="30">
      <c r="A29" s="154" t="s">
        <v>170</v>
      </c>
      <c r="B29" s="1" t="s">
        <v>3</v>
      </c>
      <c r="C29" s="1">
        <f>R30</f>
        <v>330</v>
      </c>
      <c r="E29" s="16"/>
      <c r="H29" s="1">
        <f>IF(E29&gt;0,E29,C29)</f>
        <v>330</v>
      </c>
      <c r="Q29" t="s">
        <v>13</v>
      </c>
      <c r="R29">
        <v>260</v>
      </c>
    </row>
    <row r="30" spans="1:18" ht="30">
      <c r="A30" s="154" t="s">
        <v>171</v>
      </c>
      <c r="B30" s="1" t="s">
        <v>4</v>
      </c>
      <c r="C30" s="1">
        <f>R28</f>
        <v>190</v>
      </c>
      <c r="E30" s="33">
        <f>E28*E29</f>
        <v>0</v>
      </c>
      <c r="H30" s="1">
        <f>IF(E30&gt;0,E30,C30)</f>
        <v>190</v>
      </c>
      <c r="J30" s="5">
        <f>(H29-H30)*H28</f>
        <v>0</v>
      </c>
      <c r="K30" s="5" t="s">
        <v>6</v>
      </c>
      <c r="L30" s="5">
        <f>J30*'Փոխարկման ֆակտորներ'!B3</f>
        <v>0</v>
      </c>
      <c r="M30" s="5">
        <f>J30*'Փոխարկման ֆակտորներ'!B10</f>
        <v>0</v>
      </c>
      <c r="N30" s="21" t="s">
        <v>172</v>
      </c>
      <c r="Q30" t="s">
        <v>14</v>
      </c>
      <c r="R30">
        <v>330</v>
      </c>
    </row>
    <row r="31" spans="1:18">
      <c r="N31" s="21" t="s">
        <v>173</v>
      </c>
      <c r="Q31" t="s">
        <v>15</v>
      </c>
      <c r="R31" t="s">
        <v>177</v>
      </c>
    </row>
  </sheetData>
  <sheetProtection algorithmName="SHA-512" hashValue="SHC2Rz1BAqtiHhuEosyFVZkTfoVMJWrPqRDTJmODR0Jckg4VKxWds9Yw+pfXyQK5cUxnN/rixpACLHUbFVF54g==" saltValue="NKvX8BqnWwAB9Wm8dqOoYQ==" spinCount="100000" sheet="1" objects="1" scenarios="1" formatCells="0" formatColumns="0"/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N5"/>
  <sheetViews>
    <sheetView workbookViewId="0">
      <selection activeCell="C3" sqref="C3"/>
    </sheetView>
  </sheetViews>
  <sheetFormatPr defaultColWidth="11.42578125" defaultRowHeight="15"/>
  <cols>
    <col min="1" max="1" width="26.7109375" customWidth="1"/>
  </cols>
  <sheetData>
    <row r="1" spans="1:14">
      <c r="A1" s="36" t="s">
        <v>122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35">
      <c r="A2" s="3" t="s">
        <v>148</v>
      </c>
      <c r="E2" s="4" t="s">
        <v>144</v>
      </c>
      <c r="H2" s="4" t="s">
        <v>145</v>
      </c>
      <c r="J2" s="14" t="s">
        <v>124</v>
      </c>
      <c r="K2" s="14" t="s">
        <v>125</v>
      </c>
      <c r="L2" s="14" t="s">
        <v>126</v>
      </c>
      <c r="M2" s="14" t="s">
        <v>127</v>
      </c>
    </row>
    <row r="3" spans="1:14">
      <c r="A3" s="154" t="s">
        <v>163</v>
      </c>
      <c r="B3" s="1" t="s">
        <v>142</v>
      </c>
      <c r="C3" s="1">
        <f>'Ելակետային ընդհանուր տվյալներ'!C3</f>
        <v>100</v>
      </c>
      <c r="E3" s="38">
        <f>IF(Մուտքային!B90&gt;25,'Ելակետային ընդհանուր տվյալներ'!E3,0)</f>
        <v>0</v>
      </c>
      <c r="H3" s="1">
        <f>IF(E3&gt;0,E3,0)</f>
        <v>0</v>
      </c>
    </row>
    <row r="4" spans="1:14" ht="30">
      <c r="A4" s="154" t="s">
        <v>178</v>
      </c>
      <c r="B4" s="19" t="s">
        <v>181</v>
      </c>
      <c r="C4" s="1">
        <f>'Ելակետային ընդհանուր տվյալներ'!C13</f>
        <v>18</v>
      </c>
      <c r="E4" s="38"/>
      <c r="H4" s="1">
        <f>IF(E4&gt;0,E4,C4)</f>
        <v>18</v>
      </c>
    </row>
    <row r="5" spans="1:14" ht="30">
      <c r="A5" s="154" t="s">
        <v>179</v>
      </c>
      <c r="B5" s="19" t="s">
        <v>181</v>
      </c>
      <c r="C5" s="117">
        <v>2.4</v>
      </c>
      <c r="E5" s="38"/>
      <c r="H5" s="1">
        <f>IF(E5&gt;0,E5,C5)</f>
        <v>2.4</v>
      </c>
      <c r="J5" s="5">
        <f>(H4-H5)*H3*1000/1000</f>
        <v>0</v>
      </c>
      <c r="K5" s="5">
        <f>'Ելակետային ընդհանուր տվյալներ'!I4</f>
        <v>0</v>
      </c>
      <c r="L5" s="5">
        <f>J5*'Փոխարկման ֆակտորներ'!B3</f>
        <v>0</v>
      </c>
      <c r="M5" s="5">
        <f>J5*'Փոխարկման ֆակտորներ'!B10</f>
        <v>0</v>
      </c>
      <c r="N5" s="21" t="s">
        <v>180</v>
      </c>
    </row>
  </sheetData>
  <sheetProtection algorithmName="SHA-512" hashValue="Ryvhy38nbpsd/wi4ZDzyzbBIp3h9QXt2ZkUzjZ+J3Kds4mdHwrw0miuSmpyHCnNB5tWH/Ia+KPZEu4S81bhqVQ==" saltValue="A4o85f69pc3XGdraJyZRWA==" spinCount="100000" sheet="1" objects="1" scenarios="1" formatCells="0" formatColumns="0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38"/>
  <sheetViews>
    <sheetView topLeftCell="A22" workbookViewId="0">
      <selection activeCell="C3" sqref="C3"/>
    </sheetView>
  </sheetViews>
  <sheetFormatPr defaultColWidth="11.42578125" defaultRowHeight="15"/>
  <cols>
    <col min="1" max="1" width="44.7109375" bestFit="1" customWidth="1"/>
    <col min="2" max="2" width="17.42578125" customWidth="1"/>
    <col min="3" max="3" width="18.28515625" customWidth="1"/>
  </cols>
  <sheetData>
    <row r="1" spans="1:6">
      <c r="A1" s="49" t="s">
        <v>182</v>
      </c>
      <c r="B1" s="50" t="s">
        <v>186</v>
      </c>
      <c r="C1" s="50" t="s">
        <v>187</v>
      </c>
    </row>
    <row r="2" spans="1:6">
      <c r="A2" s="54" t="s">
        <v>183</v>
      </c>
      <c r="B2" s="52">
        <f>IF('Ելակետային ընդհանուր տվյալներ'!E10="electricity",B3,1.227)</f>
        <v>1.2270000000000001</v>
      </c>
      <c r="C2" s="53" t="s">
        <v>6</v>
      </c>
      <c r="E2" s="35"/>
      <c r="F2" s="35"/>
    </row>
    <row r="3" spans="1:6">
      <c r="A3" s="54" t="s">
        <v>184</v>
      </c>
      <c r="B3" s="52">
        <v>2.4</v>
      </c>
      <c r="C3" s="53"/>
    </row>
    <row r="4" spans="1:6">
      <c r="A4" s="54" t="s">
        <v>188</v>
      </c>
      <c r="B4" s="55">
        <v>2.4</v>
      </c>
      <c r="C4" s="53" t="s">
        <v>6</v>
      </c>
    </row>
    <row r="5" spans="1:6">
      <c r="A5" s="54" t="s">
        <v>189</v>
      </c>
      <c r="B5" s="55">
        <v>2.4</v>
      </c>
      <c r="C5" s="53" t="s">
        <v>6</v>
      </c>
    </row>
    <row r="6" spans="1:6">
      <c r="A6" s="54" t="s">
        <v>190</v>
      </c>
      <c r="B6" s="55">
        <v>2.4</v>
      </c>
      <c r="C6" s="53" t="s">
        <v>6</v>
      </c>
    </row>
    <row r="7" spans="1:6">
      <c r="A7" s="51"/>
      <c r="B7" s="51"/>
      <c r="C7" s="51"/>
    </row>
    <row r="8" spans="1:6" ht="18">
      <c r="A8" s="49" t="s">
        <v>185</v>
      </c>
      <c r="B8" s="50" t="s">
        <v>186</v>
      </c>
      <c r="C8" s="50" t="s">
        <v>187</v>
      </c>
    </row>
    <row r="9" spans="1:6" ht="18">
      <c r="A9" s="54" t="s">
        <v>183</v>
      </c>
      <c r="B9" s="52">
        <f>IF('Ելակետային ընդհանուր տվյալներ'!E10="electricity",'Փոխարկման ֆակտորներ'!B10,0.202)</f>
        <v>0.20200000000000001</v>
      </c>
      <c r="C9" s="56" t="s">
        <v>18</v>
      </c>
    </row>
    <row r="10" spans="1:6" ht="18">
      <c r="A10" s="54" t="s">
        <v>184</v>
      </c>
      <c r="B10" s="52">
        <v>0.44</v>
      </c>
      <c r="C10" s="56" t="s">
        <v>18</v>
      </c>
    </row>
    <row r="11" spans="1:6" ht="18">
      <c r="A11" s="54" t="s">
        <v>188</v>
      </c>
      <c r="B11" s="52">
        <v>0.44</v>
      </c>
      <c r="C11" s="56" t="s">
        <v>18</v>
      </c>
    </row>
    <row r="12" spans="1:6" ht="18">
      <c r="A12" s="54" t="s">
        <v>189</v>
      </c>
      <c r="B12" s="52">
        <v>0.44</v>
      </c>
      <c r="C12" s="56" t="s">
        <v>18</v>
      </c>
    </row>
    <row r="13" spans="1:6" ht="18">
      <c r="A13" s="54" t="s">
        <v>190</v>
      </c>
      <c r="B13" s="57">
        <v>0.34100000000000003</v>
      </c>
      <c r="C13" s="56" t="s">
        <v>18</v>
      </c>
    </row>
    <row r="14" spans="1:6" ht="18">
      <c r="A14" s="54" t="s">
        <v>191</v>
      </c>
      <c r="B14" s="57" t="s">
        <v>19</v>
      </c>
      <c r="C14" s="56" t="s">
        <v>18</v>
      </c>
    </row>
    <row r="15" spans="1:6" ht="18">
      <c r="A15" s="54" t="s">
        <v>192</v>
      </c>
      <c r="B15" s="58">
        <v>0.26700000000000002</v>
      </c>
      <c r="C15" s="56" t="s">
        <v>18</v>
      </c>
    </row>
    <row r="16" spans="1:6" ht="18">
      <c r="A16" s="51" t="s">
        <v>20</v>
      </c>
      <c r="B16" s="59">
        <v>0.22700000000000001</v>
      </c>
      <c r="C16" s="56" t="s">
        <v>18</v>
      </c>
    </row>
    <row r="17" spans="1:3" ht="18" hidden="1">
      <c r="A17" s="60" t="s">
        <v>21</v>
      </c>
      <c r="B17" s="61" t="s">
        <v>19</v>
      </c>
      <c r="C17" s="56" t="s">
        <v>18</v>
      </c>
    </row>
    <row r="18" spans="1:3" ht="18" hidden="1">
      <c r="A18" s="60" t="s">
        <v>22</v>
      </c>
      <c r="B18" s="61" t="s">
        <v>19</v>
      </c>
      <c r="C18" s="56" t="s">
        <v>18</v>
      </c>
    </row>
    <row r="19" spans="1:3" ht="18">
      <c r="A19" s="54" t="s">
        <v>193</v>
      </c>
      <c r="B19" s="58">
        <v>0.39500000000000002</v>
      </c>
      <c r="C19" s="56" t="s">
        <v>18</v>
      </c>
    </row>
    <row r="20" spans="1:3" ht="18">
      <c r="A20" s="54" t="s">
        <v>194</v>
      </c>
      <c r="B20" s="58" t="s">
        <v>23</v>
      </c>
      <c r="C20" s="56" t="s">
        <v>18</v>
      </c>
    </row>
    <row r="21" spans="1:3" ht="18">
      <c r="A21" s="54" t="s">
        <v>195</v>
      </c>
      <c r="B21" s="58" t="s">
        <v>24</v>
      </c>
      <c r="C21" s="56" t="s">
        <v>18</v>
      </c>
    </row>
    <row r="22" spans="1:3">
      <c r="A22" s="51"/>
      <c r="B22" s="62"/>
      <c r="C22" s="53"/>
    </row>
    <row r="23" spans="1:3">
      <c r="A23" s="49" t="s">
        <v>196</v>
      </c>
      <c r="B23" s="50" t="s">
        <v>186</v>
      </c>
      <c r="C23" s="50" t="s">
        <v>187</v>
      </c>
    </row>
    <row r="24" spans="1:3">
      <c r="A24" s="54" t="s">
        <v>197</v>
      </c>
      <c r="B24" s="63">
        <v>33</v>
      </c>
      <c r="C24" s="56" t="s">
        <v>25</v>
      </c>
    </row>
    <row r="25" spans="1:3">
      <c r="A25" s="54" t="s">
        <v>197</v>
      </c>
      <c r="B25" s="64">
        <f>B24/3.6</f>
        <v>9.1666666666666661</v>
      </c>
      <c r="C25" s="56" t="s">
        <v>26</v>
      </c>
    </row>
    <row r="26" spans="1:3">
      <c r="A26" s="54" t="s">
        <v>198</v>
      </c>
      <c r="B26" s="64">
        <v>25.992000000000001</v>
      </c>
      <c r="C26" s="56" t="s">
        <v>27</v>
      </c>
    </row>
    <row r="27" spans="1:3">
      <c r="A27" s="54" t="s">
        <v>198</v>
      </c>
      <c r="B27" s="64">
        <f>B26/3.6</f>
        <v>7.22</v>
      </c>
      <c r="C27" s="56" t="s">
        <v>28</v>
      </c>
    </row>
    <row r="28" spans="1:3">
      <c r="A28" s="54" t="s">
        <v>199</v>
      </c>
      <c r="B28" s="64">
        <v>35.36</v>
      </c>
      <c r="C28" s="56" t="s">
        <v>29</v>
      </c>
    </row>
    <row r="29" spans="1:3">
      <c r="A29" s="54" t="s">
        <v>199</v>
      </c>
      <c r="B29" s="64">
        <f>B28/3.6</f>
        <v>9.8222222222222211</v>
      </c>
      <c r="C29" s="56" t="s">
        <v>30</v>
      </c>
    </row>
    <row r="30" spans="1:3">
      <c r="A30" s="51" t="s">
        <v>31</v>
      </c>
      <c r="B30" s="64">
        <v>46.1</v>
      </c>
      <c r="C30" s="56" t="s">
        <v>27</v>
      </c>
    </row>
    <row r="31" spans="1:3">
      <c r="A31" s="51" t="s">
        <v>31</v>
      </c>
      <c r="B31" s="64">
        <f>B30/3.6</f>
        <v>12.805555555555555</v>
      </c>
      <c r="C31" s="56" t="s">
        <v>28</v>
      </c>
    </row>
    <row r="32" spans="1:3">
      <c r="A32" s="54" t="s">
        <v>200</v>
      </c>
      <c r="B32" s="64">
        <v>39.104999999999997</v>
      </c>
      <c r="C32" s="56" t="s">
        <v>29</v>
      </c>
    </row>
    <row r="33" spans="1:3">
      <c r="A33" s="54" t="s">
        <v>200</v>
      </c>
      <c r="B33" s="64">
        <f>B32/3.6</f>
        <v>10.862499999999999</v>
      </c>
      <c r="C33" s="56" t="s">
        <v>30</v>
      </c>
    </row>
    <row r="34" spans="1:3">
      <c r="A34" s="54" t="s">
        <v>201</v>
      </c>
      <c r="B34" s="65">
        <v>540</v>
      </c>
      <c r="C34" s="56" t="s">
        <v>32</v>
      </c>
    </row>
    <row r="35" spans="1:3">
      <c r="A35" s="54" t="s">
        <v>202</v>
      </c>
      <c r="B35" s="65">
        <v>990</v>
      </c>
      <c r="C35" s="56" t="s">
        <v>32</v>
      </c>
    </row>
    <row r="36" spans="1:3">
      <c r="A36" s="54" t="s">
        <v>203</v>
      </c>
      <c r="B36" s="64">
        <v>4</v>
      </c>
      <c r="C36" s="56" t="s">
        <v>28</v>
      </c>
    </row>
    <row r="37" spans="1:3">
      <c r="A37" s="54" t="s">
        <v>204</v>
      </c>
      <c r="B37" s="52">
        <v>1.163</v>
      </c>
      <c r="C37" s="56" t="s">
        <v>33</v>
      </c>
    </row>
    <row r="38" spans="1:3">
      <c r="A38" s="54" t="s">
        <v>205</v>
      </c>
      <c r="B38" s="52">
        <v>9.57</v>
      </c>
      <c r="C38" s="66" t="s">
        <v>8</v>
      </c>
    </row>
  </sheetData>
  <sheetProtection algorithmName="SHA-512" hashValue="Kxnr/6ZWGGtMmXkkxQ7EvMSM7b3GpdIAdc0T7xFIDy2Zrrmd46Vc4XCs2xiLa+4YBrW5Aj0YosQ7FSQKknjFuw==" saltValue="sbEZZ2Qt6gJ7DQYm1eBhRw==" spinCount="100000" sheet="1" objects="1" scenarios="1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Մուտքային</vt:lpstr>
      <vt:lpstr>Առանձին ԷԱ միջոցառ խնայող</vt:lpstr>
      <vt:lpstr>Ելակետային ընդհանուր տվյալներ</vt:lpstr>
      <vt:lpstr>Ջեռուցման համակարգ</vt:lpstr>
      <vt:lpstr>Վերականգնվող էներգիա</vt:lpstr>
      <vt:lpstr>Ջերմամեկուսացում</vt:lpstr>
      <vt:lpstr>Կենցաղային սարքեր</vt:lpstr>
      <vt:lpstr>Լուսավորություն</vt:lpstr>
      <vt:lpstr>Փոխարկման ֆակտորներ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Ani Shamiryan</cp:lastModifiedBy>
  <cp:lastPrinted>2017-01-31T14:31:38Z</cp:lastPrinted>
  <dcterms:created xsi:type="dcterms:W3CDTF">2017-01-25T11:40:19Z</dcterms:created>
  <dcterms:modified xsi:type="dcterms:W3CDTF">2017-02-15T08:38:03Z</dcterms:modified>
</cp:coreProperties>
</file>